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Z:\Employee Documents\Nikita\Payslip Calculator\"/>
    </mc:Choice>
  </mc:AlternateContent>
  <xr:revisionPtr revIDLastSave="0" documentId="13_ncr:1_{DC1199BD-FB0B-4402-86C9-537AE9660B64}" xr6:coauthVersionLast="47" xr6:coauthVersionMax="47" xr10:uidLastSave="{00000000-0000-0000-0000-000000000000}"/>
  <workbookProtection workbookAlgorithmName="SHA-512" workbookHashValue="xUuoTc/cHIkz0h+e9n0jChRUIKLaNWwZL9r5Y3jONeDkoJchvwuvciBTAcdUUf7GJWLhh1ag1PL9N4OJf8/y0g==" workbookSaltValue="qBqKI9eX6s9MXkT8rhShkg==" workbookSpinCount="100000" lockStructure="1"/>
  <bookViews>
    <workbookView xWindow="-120" yWindow="-120" windowWidth="29040" windowHeight="15840" firstSheet="1" activeTab="1" xr2:uid="{00000000-000D-0000-FFFF-FFFF00000000}"/>
  </bookViews>
  <sheets>
    <sheet name="Tables" sheetId="1" state="hidden" r:id="rId1"/>
    <sheet name="Payslip" sheetId="4" r:id="rId2"/>
    <sheet name="Start" sheetId="5" r:id="rId3"/>
  </sheets>
  <definedNames>
    <definedName name="Pensionable">Tables!#REF!</definedName>
    <definedName name="_xlnm.Print_Area" localSheetId="1">Payslip!$A$1:$M$28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1" l="1"/>
  <c r="K10" i="1"/>
  <c r="K9" i="1"/>
  <c r="K8" i="1"/>
  <c r="K7" i="1"/>
  <c r="K6" i="1"/>
  <c r="K5" i="1"/>
  <c r="E15" i="1"/>
  <c r="E16" i="1" s="1"/>
  <c r="E14" i="1"/>
  <c r="B10" i="1"/>
  <c r="B5" i="1"/>
  <c r="B9" i="1"/>
  <c r="B8" i="1"/>
  <c r="B7" i="1"/>
  <c r="B6" i="1"/>
  <c r="D20" i="1" l="1"/>
  <c r="D21" i="1" s="1"/>
  <c r="D22" i="1" s="1"/>
  <c r="D23" i="1" s="1"/>
  <c r="D24" i="1" s="1"/>
  <c r="D25" i="1" s="1"/>
  <c r="D26" i="1" s="1"/>
  <c r="D27" i="1" s="1"/>
  <c r="D38" i="1" l="1"/>
  <c r="I32" i="1"/>
  <c r="I33" i="1" s="1"/>
  <c r="I31" i="1"/>
  <c r="I34" i="1" l="1"/>
  <c r="I35" i="1" s="1"/>
  <c r="L9" i="4" s="1"/>
  <c r="D31" i="1" s="1"/>
  <c r="L10" i="4"/>
  <c r="E47" i="1" l="1"/>
  <c r="F47" i="1" s="1"/>
  <c r="F8" i="4" s="1"/>
  <c r="I8" i="4" s="1"/>
  <c r="D42" i="1"/>
  <c r="E31" i="1"/>
  <c r="E38" i="1"/>
  <c r="C18" i="4"/>
  <c r="I7" i="4" l="1"/>
  <c r="I18" i="4" s="1"/>
  <c r="C20" i="4" s="1"/>
  <c r="D32" i="1"/>
  <c r="E20" i="1"/>
  <c r="D35" i="1" l="1"/>
  <c r="D37" i="1"/>
  <c r="D33" i="1"/>
  <c r="D34" i="1" s="1"/>
  <c r="E32" i="1"/>
  <c r="D36" i="1" l="1"/>
  <c r="D39" i="1" s="1"/>
  <c r="D41" i="1" s="1"/>
  <c r="E37" i="1"/>
  <c r="E33" i="1"/>
  <c r="E34" i="1" s="1"/>
  <c r="E35" i="1"/>
  <c r="E21" i="1"/>
  <c r="E36" i="1" l="1"/>
  <c r="E39" i="1" s="1"/>
  <c r="D43" i="1" s="1"/>
  <c r="D45" i="1" s="1"/>
  <c r="F7" i="4" s="1"/>
  <c r="F18" i="4" s="1"/>
  <c r="L20" i="4" s="1"/>
  <c r="E22" i="1"/>
  <c r="E23" i="1"/>
  <c r="E24" i="1" l="1"/>
  <c r="E25" i="1" l="1"/>
  <c r="E27" i="1" l="1"/>
  <c r="E26" i="1"/>
</calcChain>
</file>

<file path=xl/sharedStrings.xml><?xml version="1.0" encoding="utf-8"?>
<sst xmlns="http://schemas.openxmlformats.org/spreadsheetml/2006/main" count="195" uniqueCount="172">
  <si>
    <t>Per Mem</t>
  </si>
  <si>
    <t>Weekly</t>
  </si>
  <si>
    <t>Fixed</t>
  </si>
  <si>
    <t>Bracket</t>
  </si>
  <si>
    <t>Marginal</t>
  </si>
  <si>
    <t>Rebate</t>
  </si>
  <si>
    <t>Annual Tax</t>
  </si>
  <si>
    <t>Bonus Tax</t>
  </si>
  <si>
    <t>Tax Tables - For Tax Year Ending</t>
  </si>
  <si>
    <t>Rebates - For Tax Year Ending</t>
  </si>
  <si>
    <t>Primary</t>
  </si>
  <si>
    <t>Secondary</t>
  </si>
  <si>
    <t>Tertiary</t>
  </si>
  <si>
    <t>MTC - For Tax Year Ending</t>
  </si>
  <si>
    <t>Members</t>
  </si>
  <si>
    <t>Monthly</t>
  </si>
  <si>
    <t>From</t>
  </si>
  <si>
    <t>To</t>
  </si>
  <si>
    <t>Category</t>
  </si>
  <si>
    <t>Per Cat</t>
  </si>
  <si>
    <t>Accumul.</t>
  </si>
  <si>
    <t>Medical Aid</t>
  </si>
  <si>
    <t>Earnings</t>
  </si>
  <si>
    <t>Company Contributions</t>
  </si>
  <si>
    <t>Car Allowance</t>
  </si>
  <si>
    <t>Overtime</t>
  </si>
  <si>
    <t>Commission</t>
  </si>
  <si>
    <t>Bonus</t>
  </si>
  <si>
    <t>Other Allowance 2</t>
  </si>
  <si>
    <t>Other Allowance 3</t>
  </si>
  <si>
    <t>Basic Salary</t>
  </si>
  <si>
    <t>PAYE</t>
  </si>
  <si>
    <t>UIF</t>
  </si>
  <si>
    <t>Provident Fund</t>
  </si>
  <si>
    <t>Pension Fund</t>
  </si>
  <si>
    <t>Other Deduction 1</t>
  </si>
  <si>
    <t>Other Deduction 2</t>
  </si>
  <si>
    <t>Other Deduction 3</t>
  </si>
  <si>
    <t>Other Deduction 4</t>
  </si>
  <si>
    <t>Other Deduction 5</t>
  </si>
  <si>
    <t>SDL</t>
  </si>
  <si>
    <t>Other Contribution 5</t>
  </si>
  <si>
    <t>Personal RA</t>
  </si>
  <si>
    <t>Other Information</t>
  </si>
  <si>
    <t>Medical Aid Members</t>
  </si>
  <si>
    <t>Other Allowance 4</t>
  </si>
  <si>
    <t>Other Allowance 5</t>
  </si>
  <si>
    <t>Net Pay</t>
  </si>
  <si>
    <t>Cost of Employment</t>
  </si>
  <si>
    <t>Taxable</t>
  </si>
  <si>
    <t>Annual Eq</t>
  </si>
  <si>
    <t>Marginal Base</t>
  </si>
  <si>
    <t>Marginal %</t>
  </si>
  <si>
    <t>Marginal Tax</t>
  </si>
  <si>
    <t>Fixed Tax</t>
  </si>
  <si>
    <t>Tax Age</t>
  </si>
  <si>
    <t>Non-Bonus</t>
  </si>
  <si>
    <t>Monthly Tax</t>
  </si>
  <si>
    <t>MTC</t>
  </si>
  <si>
    <t>Total Tax</t>
  </si>
  <si>
    <t>UIF Limit</t>
  </si>
  <si>
    <t>Tax calc</t>
  </si>
  <si>
    <t>UIF Income</t>
  </si>
  <si>
    <t>Gross Pay</t>
  </si>
  <si>
    <t>Total Deductions</t>
  </si>
  <si>
    <t>Total Contributions</t>
  </si>
  <si>
    <t>Other Taxable Benefits</t>
  </si>
  <si>
    <t>Employee Name</t>
  </si>
  <si>
    <t>Company Name</t>
  </si>
  <si>
    <t>Comments</t>
  </si>
  <si>
    <t>This product was designed as a simple tool to calculate statutory deduction and contribution values.</t>
  </si>
  <si>
    <t>The calculations are designed to determine these values for a salaried employee for one pay period.</t>
  </si>
  <si>
    <t xml:space="preserve">The values calculated may vary from that calculated with a payroll system as no "Year-to-date" income </t>
  </si>
  <si>
    <t xml:space="preserve">  values are taken into consideration in the tax calculations.</t>
  </si>
  <si>
    <t>2. Input your company name</t>
  </si>
  <si>
    <t>3. Input the employee name</t>
  </si>
  <si>
    <t>4. Input the values for the predefined allowances</t>
  </si>
  <si>
    <t>5. Amend the names of other allowances as required</t>
  </si>
  <si>
    <t>7. Follow steps 4,5 and 6 for deductions and contributions</t>
  </si>
  <si>
    <t xml:space="preserve">8. Do not attempt to input values into the grey cells, the </t>
  </si>
  <si>
    <t xml:space="preserve">     system will calculate these values for you.</t>
  </si>
  <si>
    <t>9. Input values for other taxable benefits</t>
  </si>
  <si>
    <t>12. Input any comments</t>
  </si>
  <si>
    <t>6. Input values of other taxable allowances</t>
  </si>
  <si>
    <t>Ergonomix specializes in payroll administration, payroll audits and custom payroll solutions.</t>
  </si>
  <si>
    <t>This is a simple example of what we can do, we can however design materially more complex</t>
  </si>
  <si>
    <t>10. Input member plus dependants value for medical aid</t>
  </si>
  <si>
    <t>1. Click on the Payslip Tab at bottom of page (this will take you to the payslip screen)</t>
  </si>
  <si>
    <t xml:space="preserve">  in a sample payslip format.</t>
  </si>
  <si>
    <t>changes, increase calculators and pro-forma payslips. Click on our logo to check out our website</t>
  </si>
  <si>
    <t xml:space="preserve">Tel: </t>
  </si>
  <si>
    <t xml:space="preserve">Email: </t>
  </si>
  <si>
    <t>sales@ergonomix.co.za</t>
  </si>
  <si>
    <t>(010) 595 7272</t>
  </si>
  <si>
    <t>systems to assist businesses with cost to company conversions, payroll budgeting, benefit</t>
  </si>
  <si>
    <t>Deductions</t>
  </si>
  <si>
    <t>Medical Tax Credit</t>
  </si>
  <si>
    <t>Retirement FB</t>
  </si>
  <si>
    <t>Retirement FB Calc</t>
  </si>
  <si>
    <t>Total RF</t>
  </si>
  <si>
    <t>Gross Remuneration</t>
  </si>
  <si>
    <t>R350K Max Check</t>
  </si>
  <si>
    <t>27.5% Check</t>
  </si>
  <si>
    <t>RF FB</t>
  </si>
  <si>
    <t>Tax Free Travel</t>
  </si>
  <si>
    <t>Car Allowance Table</t>
  </si>
  <si>
    <t>Fuel</t>
  </si>
  <si>
    <t>Maintenance</t>
  </si>
  <si>
    <t>Contributions</t>
  </si>
  <si>
    <t>Contribution to MSA</t>
  </si>
  <si>
    <t>Plan No</t>
  </si>
  <si>
    <t>Saries</t>
  </si>
  <si>
    <t>Plan</t>
  </si>
  <si>
    <t>Main Member</t>
  </si>
  <si>
    <t>Adult</t>
  </si>
  <si>
    <t>Child</t>
  </si>
  <si>
    <t>Executive</t>
  </si>
  <si>
    <t>Comprehensive</t>
  </si>
  <si>
    <t>Classic Comprehensive</t>
  </si>
  <si>
    <t>Classic Delta Comprehensive</t>
  </si>
  <si>
    <t>Essential Comprehensive</t>
  </si>
  <si>
    <t>Essential Delta Comprehensive</t>
  </si>
  <si>
    <t>Priority</t>
  </si>
  <si>
    <t>Classic Priority</t>
  </si>
  <si>
    <t>Essential Priority</t>
  </si>
  <si>
    <t>Saver</t>
  </si>
  <si>
    <t>Classic Saver</t>
  </si>
  <si>
    <t>Classic Delta Saver</t>
  </si>
  <si>
    <t>Essential Saver</t>
  </si>
  <si>
    <t>Essential Delta Saver</t>
  </si>
  <si>
    <t>Coastal Saver</t>
  </si>
  <si>
    <t>Smart</t>
  </si>
  <si>
    <t>Classic Smart</t>
  </si>
  <si>
    <t>Essential Smart</t>
  </si>
  <si>
    <t>Core</t>
  </si>
  <si>
    <t>Classic Core</t>
  </si>
  <si>
    <t>Classic Delta Core</t>
  </si>
  <si>
    <t>Essential Core</t>
  </si>
  <si>
    <t>Essential Delta Core</t>
  </si>
  <si>
    <t>Coastal Core</t>
  </si>
  <si>
    <t>Member</t>
  </si>
  <si>
    <t>Vitality</t>
  </si>
  <si>
    <t>KeyCare Plus 0 - 8 550</t>
  </si>
  <si>
    <t>KeyCare Core 0 - 8 550</t>
  </si>
  <si>
    <t>KeyCare Start 0 - 9 150</t>
  </si>
  <si>
    <t>Member +1</t>
  </si>
  <si>
    <t>Member +2</t>
  </si>
  <si>
    <t>Vitality Active</t>
  </si>
  <si>
    <t>Aged 18 – 2</t>
  </si>
  <si>
    <t>Aged 30 and over</t>
  </si>
  <si>
    <t>KeyFIT</t>
  </si>
  <si>
    <t>Vitality + KeyFIT Combo</t>
  </si>
  <si>
    <t>KeyFIT is only for those already on eyFIT</t>
  </si>
  <si>
    <t xml:space="preserve"> to see all the services we offer.</t>
  </si>
  <si>
    <t>Executive Plan</t>
  </si>
  <si>
    <t>Classic Smart Comprehensive</t>
  </si>
  <si>
    <t>KeyCare Plus 8 551 - 13 800</t>
  </si>
  <si>
    <t>KeyCare Plus 13 801+</t>
  </si>
  <si>
    <t>KeyCare Core 8 551 - 13 800</t>
  </si>
  <si>
    <t>KeyCare Core 13 801+</t>
  </si>
  <si>
    <t>KeyCare Start 9 151 - 13 800</t>
  </si>
  <si>
    <t>KeyCare Start 13 801+</t>
  </si>
  <si>
    <t>KeyCare*</t>
  </si>
  <si>
    <t>Leave Payout</t>
  </si>
  <si>
    <t>Other Contribution 4</t>
  </si>
  <si>
    <t>Other Contribution 1</t>
  </si>
  <si>
    <t>Other Contribution 2</t>
  </si>
  <si>
    <t>Other Contribution 3</t>
  </si>
  <si>
    <t>Other Allowance 1</t>
  </si>
  <si>
    <t>Feb 2024</t>
  </si>
  <si>
    <t>11. Input Age of employee as at 29 Feb 2024</t>
  </si>
  <si>
    <t>*These values are correct for a full month's earnings for the tax year ending 24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</si>
</sst>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\ #,##0.00;[Red]&quot;R&quot;\ \-#,##0.00"/>
    <numFmt numFmtId="165" formatCode="_ * #,##0.00_ ;_ * \-#,##0.00_ ;_ * &quot;-&quot;??_ ;_ @_ "/>
    <numFmt numFmtId="166" formatCode="_ * #,##0_ ;_ * \-#,##0_ ;_ * &quot;-&quot;??_ ;_ @_ "/>
    <numFmt numFmtId="167" formatCode="_ * #,##0.000_ ;_ * \-#,##0.0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rgb="FF00B050"/>
      </left>
      <right style="dotted">
        <color rgb="FF00B050"/>
      </right>
      <top style="dotted">
        <color rgb="FF00B050"/>
      </top>
      <bottom style="dotted">
        <color rgb="FF00B050"/>
      </bottom>
      <diagonal/>
    </border>
    <border>
      <left style="dotted">
        <color rgb="FF00B050"/>
      </left>
      <right style="dotted">
        <color rgb="FF00B050"/>
      </right>
      <top/>
      <bottom style="dotted">
        <color rgb="FF00B05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ck">
        <color rgb="FF002060"/>
      </bottom>
      <diagonal/>
    </border>
    <border>
      <left/>
      <right style="thick">
        <color rgb="FF002060"/>
      </right>
      <top style="thin">
        <color theme="0" tint="-0.24994659260841701"/>
      </top>
      <bottom style="thick">
        <color rgb="FF00206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ck">
        <color rgb="FF00206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thin">
        <color theme="0" tint="-0.14996795556505021"/>
      </left>
      <right/>
      <top/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 style="dotted">
        <color rgb="FF002060"/>
      </left>
      <right style="thin">
        <color indexed="64"/>
      </right>
      <top style="dotted">
        <color rgb="FF002060"/>
      </top>
      <bottom style="dotted">
        <color rgb="FF002060"/>
      </bottom>
      <diagonal/>
    </border>
    <border>
      <left style="thin">
        <color indexed="64"/>
      </left>
      <right style="thin">
        <color indexed="64"/>
      </right>
      <top style="dotted">
        <color rgb="FF002060"/>
      </top>
      <bottom style="dotted">
        <color rgb="FF002060"/>
      </bottom>
      <diagonal/>
    </border>
    <border>
      <left style="thin">
        <color indexed="64"/>
      </left>
      <right style="dotted">
        <color rgb="FF002060"/>
      </right>
      <top style="dotted">
        <color rgb="FF002060"/>
      </top>
      <bottom style="dotted">
        <color rgb="FF00206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7030A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B05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theme="3" tint="0.3999450666829432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90CEC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B0F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theme="5" tint="-0.499984740745262"/>
      </bottom>
      <diagonal/>
    </border>
    <border>
      <left style="medium">
        <color rgb="FFCCCCCC"/>
      </left>
      <right style="medium">
        <color rgb="FFCCCCCC"/>
      </right>
      <top style="thick">
        <color rgb="FF7030A0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thick">
        <color rgb="FF00B050"/>
      </bottom>
      <diagonal/>
    </border>
    <border>
      <left style="medium">
        <color rgb="FFCCCCCC"/>
      </left>
      <right style="medium">
        <color rgb="FFCCCCCC"/>
      </right>
      <top style="thick">
        <color rgb="FF00B050"/>
      </top>
      <bottom/>
      <diagonal/>
    </border>
    <border>
      <left style="medium">
        <color rgb="FFCCCCCC"/>
      </left>
      <right style="medium">
        <color rgb="FFCCCCCC"/>
      </right>
      <top/>
      <bottom style="thick">
        <color theme="3" tint="0.39994506668294322"/>
      </bottom>
      <diagonal/>
    </border>
    <border>
      <left style="medium">
        <color rgb="FFCCCCCC"/>
      </left>
      <right style="medium">
        <color rgb="FFCCCCCC"/>
      </right>
      <top style="thick">
        <color theme="3" tint="0.39994506668294322"/>
      </top>
      <bottom/>
      <diagonal/>
    </border>
    <border>
      <left style="medium">
        <color rgb="FFCCCCCC"/>
      </left>
      <right style="medium">
        <color rgb="FFCCCCCC"/>
      </right>
      <top/>
      <bottom style="thick">
        <color rgb="FF90CEC2"/>
      </bottom>
      <diagonal/>
    </border>
    <border>
      <left style="medium">
        <color rgb="FFCCCCCC"/>
      </left>
      <right style="medium">
        <color rgb="FFCCCCCC"/>
      </right>
      <top style="thick">
        <color rgb="FF90CEC2"/>
      </top>
      <bottom/>
      <diagonal/>
    </border>
    <border>
      <left style="medium">
        <color rgb="FFCCCCCC"/>
      </left>
      <right style="medium">
        <color rgb="FFCCCCCC"/>
      </right>
      <top/>
      <bottom style="thick">
        <color rgb="FF00B0F0"/>
      </bottom>
      <diagonal/>
    </border>
    <border>
      <left style="medium">
        <color rgb="FFCCCCCC"/>
      </left>
      <right style="medium">
        <color rgb="FFCCCCCC"/>
      </right>
      <top style="thick">
        <color rgb="FF00B0F0"/>
      </top>
      <bottom/>
      <diagonal/>
    </border>
    <border>
      <left style="medium">
        <color rgb="FFCCCCCC"/>
      </left>
      <right style="medium">
        <color rgb="FFCCCCCC"/>
      </right>
      <top/>
      <bottom style="thick">
        <color theme="5" tint="-0.499984740745262"/>
      </bottom>
      <diagonal/>
    </border>
    <border>
      <left style="medium">
        <color rgb="FFCCCCCC"/>
      </left>
      <right style="medium">
        <color rgb="FFCCCCCC"/>
      </right>
      <top style="thick">
        <color theme="5" tint="-0.499984740745262"/>
      </top>
      <bottom/>
      <diagonal/>
    </border>
    <border>
      <left style="medium">
        <color rgb="FFCCCCCC"/>
      </left>
      <right/>
      <top style="medium">
        <color rgb="FFCCCCCC"/>
      </top>
      <bottom style="thick">
        <color rgb="FF00B050"/>
      </bottom>
      <diagonal/>
    </border>
    <border>
      <left/>
      <right/>
      <top style="medium">
        <color rgb="FFCCCCCC"/>
      </top>
      <bottom style="thick">
        <color rgb="FF00B05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B05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165" fontId="0" fillId="0" borderId="0" xfId="1" applyFont="1"/>
    <xf numFmtId="166" fontId="0" fillId="0" borderId="0" xfId="1" applyNumberFormat="1" applyFont="1"/>
    <xf numFmtId="0" fontId="0" fillId="3" borderId="0" xfId="0" applyFill="1"/>
    <xf numFmtId="166" fontId="0" fillId="3" borderId="1" xfId="1" applyNumberFormat="1" applyFont="1" applyFill="1" applyBorder="1"/>
    <xf numFmtId="165" fontId="0" fillId="3" borderId="1" xfId="1" applyFont="1" applyFill="1" applyBorder="1"/>
    <xf numFmtId="9" fontId="0" fillId="3" borderId="1" xfId="2" applyFont="1" applyFill="1" applyBorder="1"/>
    <xf numFmtId="9" fontId="0" fillId="3" borderId="1" xfId="0" applyNumberFormat="1" applyFill="1" applyBorder="1"/>
    <xf numFmtId="0" fontId="3" fillId="2" borderId="2" xfId="0" quotePrefix="1" applyFont="1" applyFill="1" applyBorder="1"/>
    <xf numFmtId="165" fontId="0" fillId="0" borderId="1" xfId="1" applyFont="1" applyBorder="1"/>
    <xf numFmtId="165" fontId="0" fillId="0" borderId="1" xfId="0" applyNumberFormat="1" applyBorder="1"/>
    <xf numFmtId="166" fontId="3" fillId="5" borderId="1" xfId="1" applyNumberFormat="1" applyFont="1" applyFill="1" applyBorder="1" applyAlignment="1">
      <alignment horizontal="center"/>
    </xf>
    <xf numFmtId="0" fontId="3" fillId="5" borderId="1" xfId="0" quotePrefix="1" applyFont="1" applyFill="1" applyBorder="1"/>
    <xf numFmtId="166" fontId="2" fillId="5" borderId="1" xfId="1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6" fontId="0" fillId="0" borderId="1" xfId="1" applyNumberFormat="1" applyFont="1" applyBorder="1"/>
    <xf numFmtId="166" fontId="0" fillId="0" borderId="12" xfId="1" applyNumberFormat="1" applyFont="1" applyBorder="1"/>
    <xf numFmtId="166" fontId="0" fillId="0" borderId="5" xfId="1" applyNumberFormat="1" applyFont="1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166" fontId="0" fillId="0" borderId="14" xfId="1" applyNumberFormat="1" applyFont="1" applyBorder="1"/>
    <xf numFmtId="166" fontId="0" fillId="0" borderId="0" xfId="1" applyNumberFormat="1" applyFont="1" applyBorder="1"/>
    <xf numFmtId="165" fontId="0" fillId="0" borderId="0" xfId="1" applyFont="1" applyBorder="1"/>
    <xf numFmtId="165" fontId="0" fillId="0" borderId="15" xfId="1" applyFont="1" applyBorder="1"/>
    <xf numFmtId="9" fontId="0" fillId="0" borderId="0" xfId="2" applyFont="1" applyBorder="1"/>
    <xf numFmtId="9" fontId="0" fillId="0" borderId="15" xfId="2" applyFont="1" applyBorder="1"/>
    <xf numFmtId="0" fontId="0" fillId="0" borderId="15" xfId="0" applyBorder="1"/>
    <xf numFmtId="166" fontId="0" fillId="0" borderId="16" xfId="1" applyNumberFormat="1" applyFont="1" applyBorder="1"/>
    <xf numFmtId="166" fontId="0" fillId="0" borderId="17" xfId="1" applyNumberFormat="1" applyFont="1" applyBorder="1"/>
    <xf numFmtId="165" fontId="0" fillId="0" borderId="17" xfId="1" applyFont="1" applyBorder="1"/>
    <xf numFmtId="0" fontId="0" fillId="0" borderId="18" xfId="0" applyBorder="1"/>
    <xf numFmtId="165" fontId="6" fillId="3" borderId="8" xfId="1" applyFont="1" applyFill="1" applyBorder="1" applyProtection="1">
      <protection locked="0"/>
    </xf>
    <xf numFmtId="165" fontId="6" fillId="3" borderId="7" xfId="1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0" fillId="3" borderId="19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22" xfId="0" applyFill="1" applyBorder="1" applyProtection="1">
      <protection hidden="1"/>
    </xf>
    <xf numFmtId="0" fontId="7" fillId="3" borderId="0" xfId="0" applyFont="1" applyFill="1" applyProtection="1">
      <protection hidden="1"/>
    </xf>
    <xf numFmtId="0" fontId="0" fillId="3" borderId="23" xfId="0" applyFill="1" applyBorder="1" applyProtection="1">
      <protection hidden="1"/>
    </xf>
    <xf numFmtId="0" fontId="7" fillId="3" borderId="8" xfId="0" applyFont="1" applyFill="1" applyBorder="1" applyProtection="1">
      <protection hidden="1"/>
    </xf>
    <xf numFmtId="165" fontId="6" fillId="4" borderId="8" xfId="1" applyFont="1" applyFill="1" applyBorder="1" applyProtection="1">
      <protection hidden="1"/>
    </xf>
    <xf numFmtId="0" fontId="7" fillId="3" borderId="7" xfId="0" applyFont="1" applyFill="1" applyBorder="1" applyProtection="1">
      <protection hidden="1"/>
    </xf>
    <xf numFmtId="165" fontId="6" fillId="4" borderId="7" xfId="1" applyFont="1" applyFill="1" applyBorder="1" applyProtection="1">
      <protection hidden="1"/>
    </xf>
    <xf numFmtId="0" fontId="6" fillId="3" borderId="0" xfId="0" applyFont="1" applyFill="1" applyProtection="1">
      <protection hidden="1"/>
    </xf>
    <xf numFmtId="165" fontId="6" fillId="3" borderId="6" xfId="1" applyFont="1" applyFill="1" applyBorder="1" applyProtection="1">
      <protection hidden="1"/>
    </xf>
    <xf numFmtId="0" fontId="5" fillId="3" borderId="0" xfId="0" applyFont="1" applyFill="1" applyProtection="1">
      <protection hidden="1"/>
    </xf>
    <xf numFmtId="165" fontId="6" fillId="3" borderId="11" xfId="0" applyNumberFormat="1" applyFont="1" applyFill="1" applyBorder="1" applyProtection="1">
      <protection hidden="1"/>
    </xf>
    <xf numFmtId="165" fontId="0" fillId="3" borderId="11" xfId="0" applyNumberFormat="1" applyFill="1" applyBorder="1" applyProtection="1">
      <protection hidden="1"/>
    </xf>
    <xf numFmtId="0" fontId="0" fillId="3" borderId="24" xfId="0" applyFill="1" applyBorder="1" applyProtection="1">
      <protection hidden="1"/>
    </xf>
    <xf numFmtId="0" fontId="0" fillId="3" borderId="25" xfId="0" applyFill="1" applyBorder="1" applyProtection="1">
      <protection hidden="1"/>
    </xf>
    <xf numFmtId="0" fontId="0" fillId="3" borderId="26" xfId="0" applyFill="1" applyBorder="1" applyProtection="1">
      <protection hidden="1"/>
    </xf>
    <xf numFmtId="165" fontId="0" fillId="3" borderId="0" xfId="1" applyFont="1" applyFill="1" applyBorder="1" applyProtection="1">
      <protection hidden="1"/>
    </xf>
    <xf numFmtId="0" fontId="7" fillId="3" borderId="7" xfId="0" applyFont="1" applyFill="1" applyBorder="1" applyProtection="1">
      <protection locked="0"/>
    </xf>
    <xf numFmtId="0" fontId="0" fillId="3" borderId="12" xfId="0" applyFill="1" applyBorder="1"/>
    <xf numFmtId="0" fontId="0" fillId="3" borderId="5" xfId="0" quotePrefix="1" applyFill="1" applyBorder="1"/>
    <xf numFmtId="0" fontId="0" fillId="3" borderId="5" xfId="0" applyFill="1" applyBorder="1"/>
    <xf numFmtId="0" fontId="0" fillId="3" borderId="13" xfId="0" applyFill="1" applyBorder="1"/>
    <xf numFmtId="0" fontId="0" fillId="3" borderId="16" xfId="0" applyFill="1" applyBorder="1"/>
    <xf numFmtId="0" fontId="8" fillId="3" borderId="17" xfId="3" applyFill="1" applyBorder="1"/>
    <xf numFmtId="0" fontId="0" fillId="3" borderId="17" xfId="0" applyFill="1" applyBorder="1"/>
    <xf numFmtId="0" fontId="0" fillId="3" borderId="18" xfId="0" applyFill="1" applyBorder="1"/>
    <xf numFmtId="165" fontId="0" fillId="0" borderId="0" xfId="0" applyNumberFormat="1"/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165" fontId="6" fillId="4" borderId="7" xfId="0" applyNumberFormat="1" applyFont="1" applyFill="1" applyBorder="1" applyProtection="1">
      <protection hidden="1"/>
    </xf>
    <xf numFmtId="0" fontId="9" fillId="3" borderId="0" xfId="0" applyFont="1" applyFill="1" applyProtection="1">
      <protection hidden="1"/>
    </xf>
    <xf numFmtId="167" fontId="0" fillId="3" borderId="1" xfId="1" applyNumberFormat="1" applyFont="1" applyFill="1" applyBorder="1"/>
    <xf numFmtId="0" fontId="10" fillId="4" borderId="0" xfId="0" applyFont="1" applyFill="1"/>
    <xf numFmtId="0" fontId="11" fillId="4" borderId="30" xfId="0" applyFont="1" applyFill="1" applyBorder="1"/>
    <xf numFmtId="0" fontId="12" fillId="0" borderId="34" xfId="0" applyFont="1" applyBorder="1"/>
    <xf numFmtId="164" fontId="12" fillId="0" borderId="34" xfId="0" applyNumberFormat="1" applyFont="1" applyBorder="1" applyAlignment="1">
      <alignment horizontal="right"/>
    </xf>
    <xf numFmtId="0" fontId="12" fillId="0" borderId="35" xfId="0" applyFont="1" applyBorder="1"/>
    <xf numFmtId="164" fontId="12" fillId="0" borderId="35" xfId="0" applyNumberFormat="1" applyFont="1" applyBorder="1" applyAlignment="1">
      <alignment horizontal="right"/>
    </xf>
    <xf numFmtId="0" fontId="12" fillId="0" borderId="30" xfId="0" applyFont="1" applyBorder="1"/>
    <xf numFmtId="164" fontId="12" fillId="0" borderId="30" xfId="0" applyNumberFormat="1" applyFont="1" applyBorder="1" applyAlignment="1">
      <alignment horizontal="right"/>
    </xf>
    <xf numFmtId="0" fontId="12" fillId="0" borderId="36" xfId="0" applyFont="1" applyBorder="1"/>
    <xf numFmtId="164" fontId="12" fillId="0" borderId="36" xfId="0" applyNumberFormat="1" applyFont="1" applyBorder="1" applyAlignment="1">
      <alignment horizontal="right"/>
    </xf>
    <xf numFmtId="0" fontId="12" fillId="0" borderId="37" xfId="0" applyFont="1" applyBorder="1"/>
    <xf numFmtId="164" fontId="12" fillId="0" borderId="37" xfId="0" applyNumberFormat="1" applyFont="1" applyBorder="1" applyAlignment="1">
      <alignment horizontal="right"/>
    </xf>
    <xf numFmtId="0" fontId="12" fillId="0" borderId="38" xfId="0" applyFont="1" applyBorder="1"/>
    <xf numFmtId="164" fontId="12" fillId="0" borderId="38" xfId="0" applyNumberFormat="1" applyFont="1" applyBorder="1" applyAlignment="1">
      <alignment horizontal="right"/>
    </xf>
    <xf numFmtId="0" fontId="12" fillId="0" borderId="39" xfId="0" applyFont="1" applyBorder="1"/>
    <xf numFmtId="164" fontId="12" fillId="0" borderId="39" xfId="0" applyNumberFormat="1" applyFont="1" applyBorder="1" applyAlignment="1">
      <alignment horizontal="right"/>
    </xf>
    <xf numFmtId="0" fontId="12" fillId="0" borderId="40" xfId="0" applyFont="1" applyBorder="1"/>
    <xf numFmtId="164" fontId="12" fillId="0" borderId="40" xfId="0" applyNumberFormat="1" applyFont="1" applyBorder="1" applyAlignment="1">
      <alignment horizontal="right"/>
    </xf>
    <xf numFmtId="165" fontId="0" fillId="0" borderId="0" xfId="1" quotePrefix="1" applyFont="1" applyBorder="1"/>
    <xf numFmtId="165" fontId="0" fillId="3" borderId="0" xfId="0" applyNumberFormat="1" applyFill="1" applyProtection="1">
      <protection hidden="1"/>
    </xf>
    <xf numFmtId="0" fontId="12" fillId="0" borderId="34" xfId="0" applyFont="1" applyBorder="1" applyAlignment="1">
      <alignment horizontal="center" vertical="center"/>
    </xf>
    <xf numFmtId="164" fontId="12" fillId="0" borderId="53" xfId="0" applyNumberFormat="1" applyFont="1" applyBorder="1"/>
    <xf numFmtId="164" fontId="12" fillId="0" borderId="54" xfId="0" applyNumberFormat="1" applyFont="1" applyBorder="1"/>
    <xf numFmtId="164" fontId="12" fillId="0" borderId="55" xfId="0" applyNumberFormat="1" applyFont="1" applyBorder="1"/>
    <xf numFmtId="165" fontId="6" fillId="3" borderId="7" xfId="0" applyNumberFormat="1" applyFont="1" applyFill="1" applyBorder="1" applyProtection="1">
      <protection locked="0"/>
    </xf>
    <xf numFmtId="0" fontId="11" fillId="4" borderId="31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166" fontId="3" fillId="2" borderId="3" xfId="1" applyNumberFormat="1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center"/>
    </xf>
    <xf numFmtId="166" fontId="3" fillId="5" borderId="1" xfId="1" applyNumberFormat="1" applyFont="1" applyFill="1" applyBorder="1" applyAlignment="1">
      <alignment horizontal="center"/>
    </xf>
    <xf numFmtId="166" fontId="0" fillId="0" borderId="1" xfId="1" applyNumberFormat="1" applyFont="1" applyBorder="1" applyAlignment="1">
      <alignment horizontal="left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10" xfId="0" applyFont="1" applyFill="1" applyBorder="1" applyAlignment="1" applyProtection="1">
      <alignment horizontal="center"/>
      <protection hidden="1"/>
    </xf>
    <xf numFmtId="0" fontId="0" fillId="3" borderId="27" xfId="0" applyFill="1" applyBorder="1" applyAlignment="1" applyProtection="1">
      <alignment horizontal="left"/>
      <protection locked="0"/>
    </xf>
    <xf numFmtId="0" fontId="0" fillId="3" borderId="28" xfId="0" applyFill="1" applyBorder="1" applyAlignment="1" applyProtection="1">
      <alignment horizontal="left"/>
      <protection locked="0"/>
    </xf>
    <xf numFmtId="0" fontId="0" fillId="3" borderId="29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0" fillId="3" borderId="14" xfId="0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 applyProtection="1">
      <alignment horizontal="left" vertical="top" wrapText="1"/>
      <protection locked="0"/>
    </xf>
    <xf numFmtId="0" fontId="0" fillId="3" borderId="17" xfId="0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hyperlink" Target="http://www.ergonomix.co.za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tiff"/><Relationship Id="rId2" Type="http://schemas.openxmlformats.org/officeDocument/2006/relationships/hyperlink" Target="http://www.ergonomix.co.za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28801</xdr:colOff>
      <xdr:row>1</xdr:row>
      <xdr:rowOff>66675</xdr:rowOff>
    </xdr:from>
    <xdr:ext cx="3238274" cy="65722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39176" y="66675"/>
          <a:ext cx="3238274" cy="6572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noAutofit/>
        </a:bodyPr>
        <a:lstStyle/>
        <a:p>
          <a:pPr algn="l"/>
          <a:r>
            <a:rPr lang="en-US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Sample Payslip</a:t>
          </a:r>
        </a:p>
      </xdr:txBody>
    </xdr:sp>
    <xdr:clientData/>
  </xdr:oneCellAnchor>
  <xdr:twoCellAnchor editAs="oneCell">
    <xdr:from>
      <xdr:col>10</xdr:col>
      <xdr:colOff>381000</xdr:colOff>
      <xdr:row>22</xdr:row>
      <xdr:rowOff>57150</xdr:rowOff>
    </xdr:from>
    <xdr:to>
      <xdr:col>11</xdr:col>
      <xdr:colOff>670084</xdr:colOff>
      <xdr:row>26</xdr:row>
      <xdr:rowOff>57150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162425"/>
          <a:ext cx="1693069" cy="7524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410521</xdr:colOff>
      <xdr:row>0</xdr:row>
      <xdr:rowOff>0</xdr:rowOff>
    </xdr:from>
    <xdr:ext cx="2588914" cy="46801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72596" y="0"/>
          <a:ext cx="2588914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About this product</a:t>
          </a:r>
        </a:p>
      </xdr:txBody>
    </xdr:sp>
    <xdr:clientData/>
  </xdr:oneCellAnchor>
  <xdr:oneCellAnchor>
    <xdr:from>
      <xdr:col>2</xdr:col>
      <xdr:colOff>606411</xdr:colOff>
      <xdr:row>8</xdr:row>
      <xdr:rowOff>66675</xdr:rowOff>
    </xdr:from>
    <xdr:ext cx="3243004" cy="46801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358886" y="1285875"/>
          <a:ext cx="3243004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How to use this product</a:t>
          </a:r>
        </a:p>
      </xdr:txBody>
    </xdr:sp>
    <xdr:clientData/>
  </xdr:oneCellAnchor>
  <xdr:twoCellAnchor editAs="oneCell">
    <xdr:from>
      <xdr:col>7</xdr:col>
      <xdr:colOff>590550</xdr:colOff>
      <xdr:row>12</xdr:row>
      <xdr:rowOff>9526</xdr:rowOff>
    </xdr:from>
    <xdr:to>
      <xdr:col>15</xdr:col>
      <xdr:colOff>28575</xdr:colOff>
      <xdr:row>23</xdr:row>
      <xdr:rowOff>181604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025" y="1924051"/>
          <a:ext cx="4314825" cy="2267578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12</xdr:row>
      <xdr:rowOff>57150</xdr:rowOff>
    </xdr:from>
    <xdr:to>
      <xdr:col>8</xdr:col>
      <xdr:colOff>0</xdr:colOff>
      <xdr:row>12</xdr:row>
      <xdr:rowOff>57151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V="1">
          <a:off x="2000250" y="1971675"/>
          <a:ext cx="2409825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13</xdr:row>
      <xdr:rowOff>66675</xdr:rowOff>
    </xdr:from>
    <xdr:to>
      <xdr:col>7</xdr:col>
      <xdr:colOff>600075</xdr:colOff>
      <xdr:row>13</xdr:row>
      <xdr:rowOff>66676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 flipV="1">
          <a:off x="1990725" y="2171700"/>
          <a:ext cx="2409825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523875</xdr:colOff>
      <xdr:row>14</xdr:row>
      <xdr:rowOff>95250</xdr:rowOff>
    </xdr:from>
    <xdr:to>
      <xdr:col>9</xdr:col>
      <xdr:colOff>66675</xdr:colOff>
      <xdr:row>15</xdr:row>
      <xdr:rowOff>76200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3105150" y="2390775"/>
          <a:ext cx="19812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142875</xdr:colOff>
      <xdr:row>15</xdr:row>
      <xdr:rowOff>114300</xdr:rowOff>
    </xdr:from>
    <xdr:to>
      <xdr:col>8</xdr:col>
      <xdr:colOff>47625</xdr:colOff>
      <xdr:row>17</xdr:row>
      <xdr:rowOff>85725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3333750" y="2600325"/>
          <a:ext cx="112395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16</xdr:row>
      <xdr:rowOff>95250</xdr:rowOff>
    </xdr:from>
    <xdr:to>
      <xdr:col>9</xdr:col>
      <xdr:colOff>38100</xdr:colOff>
      <xdr:row>18</xdr:row>
      <xdr:rowOff>28575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2695575" y="2771775"/>
          <a:ext cx="236220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16</xdr:row>
      <xdr:rowOff>19050</xdr:rowOff>
    </xdr:from>
    <xdr:to>
      <xdr:col>10</xdr:col>
      <xdr:colOff>466725</xdr:colOff>
      <xdr:row>17</xdr:row>
      <xdr:rowOff>123825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V="1">
          <a:off x="3562350" y="2695575"/>
          <a:ext cx="253365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361950</xdr:colOff>
      <xdr:row>16</xdr:row>
      <xdr:rowOff>28575</xdr:rowOff>
    </xdr:from>
    <xdr:to>
      <xdr:col>11</xdr:col>
      <xdr:colOff>295275</xdr:colOff>
      <xdr:row>17</xdr:row>
      <xdr:rowOff>161925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 flipV="1">
          <a:off x="3552825" y="2705100"/>
          <a:ext cx="29813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14</xdr:row>
      <xdr:rowOff>171450</xdr:rowOff>
    </xdr:from>
    <xdr:to>
      <xdr:col>14</xdr:col>
      <xdr:colOff>152400</xdr:colOff>
      <xdr:row>20</xdr:row>
      <xdr:rowOff>133350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 flipV="1">
          <a:off x="2628900" y="2466975"/>
          <a:ext cx="5591175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16</xdr:row>
      <xdr:rowOff>0</xdr:rowOff>
    </xdr:from>
    <xdr:to>
      <xdr:col>14</xdr:col>
      <xdr:colOff>133350</xdr:colOff>
      <xdr:row>21</xdr:row>
      <xdr:rowOff>104775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/>
      </xdr:nvCxnSpPr>
      <xdr:spPr>
        <a:xfrm flipV="1">
          <a:off x="3571875" y="2676525"/>
          <a:ext cx="4629150" cy="1057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16</xdr:row>
      <xdr:rowOff>114300</xdr:rowOff>
    </xdr:from>
    <xdr:to>
      <xdr:col>14</xdr:col>
      <xdr:colOff>123825</xdr:colOff>
      <xdr:row>22</xdr:row>
      <xdr:rowOff>142875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 flipV="1">
          <a:off x="2752725" y="2790825"/>
          <a:ext cx="5438775" cy="1171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23</xdr:row>
      <xdr:rowOff>57150</xdr:rowOff>
    </xdr:from>
    <xdr:to>
      <xdr:col>8</xdr:col>
      <xdr:colOff>19050</xdr:colOff>
      <xdr:row>23</xdr:row>
      <xdr:rowOff>104775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 flipV="1">
          <a:off x="1628775" y="4067175"/>
          <a:ext cx="2800350" cy="47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348792</xdr:colOff>
      <xdr:row>24</xdr:row>
      <xdr:rowOff>38100</xdr:rowOff>
    </xdr:from>
    <xdr:ext cx="2412072" cy="468013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1710867" y="4238625"/>
          <a:ext cx="2412072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About Ergonomix</a:t>
          </a:r>
        </a:p>
      </xdr:txBody>
    </xdr:sp>
    <xdr:clientData/>
  </xdr:oneCellAnchor>
  <xdr:twoCellAnchor editAs="oneCell">
    <xdr:from>
      <xdr:col>11</xdr:col>
      <xdr:colOff>581025</xdr:colOff>
      <xdr:row>26</xdr:row>
      <xdr:rowOff>47625</xdr:rowOff>
    </xdr:from>
    <xdr:to>
      <xdr:col>14</xdr:col>
      <xdr:colOff>445294</xdr:colOff>
      <xdr:row>30</xdr:row>
      <xdr:rowOff>38100</xdr:rowOff>
    </xdr:to>
    <xdr:pic>
      <xdr:nvPicPr>
        <xdr:cNvPr id="38" name="Picture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4629150"/>
          <a:ext cx="1693069" cy="7524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>
    <xdr:from>
      <xdr:col>10</xdr:col>
      <xdr:colOff>171450</xdr:colOff>
      <xdr:row>29</xdr:row>
      <xdr:rowOff>28575</xdr:rowOff>
    </xdr:from>
    <xdr:to>
      <xdr:col>11</xdr:col>
      <xdr:colOff>485775</xdr:colOff>
      <xdr:row>30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5800725" y="5372100"/>
          <a:ext cx="923925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les@ergonomix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C49"/>
  <sheetViews>
    <sheetView workbookViewId="0">
      <selection activeCell="Z30" sqref="Z30"/>
    </sheetView>
  </sheetViews>
  <sheetFormatPr defaultRowHeight="15" x14ac:dyDescent="0.25"/>
  <cols>
    <col min="2" max="2" width="14.28515625" style="2" bestFit="1" customWidth="1"/>
    <col min="3" max="3" width="13.140625" style="2" bestFit="1" customWidth="1"/>
    <col min="4" max="5" width="12.5703125" bestFit="1" customWidth="1"/>
    <col min="7" max="7" width="20" customWidth="1"/>
    <col min="8" max="8" width="7" customWidth="1"/>
    <col min="9" max="9" width="14.140625" customWidth="1"/>
    <col min="11" max="11" width="10.42578125" customWidth="1"/>
    <col min="12" max="12" width="12" bestFit="1" customWidth="1"/>
    <col min="13" max="13" width="8.42578125" bestFit="1" customWidth="1"/>
    <col min="14" max="14" width="6.42578125" bestFit="1" customWidth="1"/>
    <col min="15" max="15" width="13.28515625" bestFit="1" customWidth="1"/>
    <col min="18" max="18" width="8.140625" bestFit="1" customWidth="1"/>
    <col min="19" max="19" width="13.7109375" bestFit="1" customWidth="1"/>
    <col min="20" max="20" width="31.85546875" bestFit="1" customWidth="1"/>
    <col min="21" max="21" width="13.5703125" bestFit="1" customWidth="1"/>
    <col min="22" max="23" width="11" bestFit="1" customWidth="1"/>
    <col min="24" max="24" width="13.5703125" bestFit="1" customWidth="1"/>
    <col min="25" max="25" width="10" bestFit="1" customWidth="1"/>
    <col min="26" max="26" width="8.42578125" bestFit="1" customWidth="1"/>
    <col min="27" max="27" width="13.5703125" bestFit="1" customWidth="1"/>
    <col min="28" max="29" width="10" bestFit="1" customWidth="1"/>
  </cols>
  <sheetData>
    <row r="1" spans="2:29" ht="15.75" thickBot="1" x14ac:dyDescent="0.3"/>
    <row r="2" spans="2:29" ht="16.5" thickBot="1" x14ac:dyDescent="0.3">
      <c r="B2" s="102" t="s">
        <v>8</v>
      </c>
      <c r="C2" s="103"/>
      <c r="D2" s="103"/>
      <c r="E2" s="8" t="s">
        <v>169</v>
      </c>
      <c r="G2" t="s">
        <v>60</v>
      </c>
      <c r="H2">
        <v>177.12</v>
      </c>
      <c r="K2" s="102" t="s">
        <v>105</v>
      </c>
      <c r="L2" s="103"/>
      <c r="M2" s="103"/>
      <c r="N2" s="103"/>
      <c r="O2" s="8" t="s">
        <v>169</v>
      </c>
      <c r="R2" s="74"/>
      <c r="S2" s="75"/>
      <c r="T2" s="75"/>
      <c r="U2" s="99" t="s">
        <v>108</v>
      </c>
      <c r="V2" s="100"/>
      <c r="W2" s="101"/>
      <c r="X2" s="99" t="s">
        <v>109</v>
      </c>
      <c r="Y2" s="100"/>
      <c r="Z2" s="101"/>
      <c r="AA2" s="99" t="s">
        <v>65</v>
      </c>
      <c r="AB2" s="100"/>
      <c r="AC2" s="101"/>
    </row>
    <row r="3" spans="2:29" ht="16.5" thickBot="1" x14ac:dyDescent="0.3">
      <c r="B3" s="11" t="s">
        <v>16</v>
      </c>
      <c r="C3" s="11" t="s">
        <v>17</v>
      </c>
      <c r="D3" s="11" t="s">
        <v>2</v>
      </c>
      <c r="E3" s="12" t="s">
        <v>4</v>
      </c>
      <c r="G3" t="s">
        <v>104</v>
      </c>
      <c r="H3">
        <v>4.6399999999999997</v>
      </c>
      <c r="K3" s="11" t="s">
        <v>16</v>
      </c>
      <c r="L3" s="11" t="s">
        <v>17</v>
      </c>
      <c r="M3" s="11" t="s">
        <v>2</v>
      </c>
      <c r="N3" s="11" t="s">
        <v>106</v>
      </c>
      <c r="O3" s="12" t="s">
        <v>107</v>
      </c>
      <c r="R3" s="75" t="s">
        <v>110</v>
      </c>
      <c r="S3" s="75" t="s">
        <v>111</v>
      </c>
      <c r="T3" s="75" t="s">
        <v>112</v>
      </c>
      <c r="U3" s="75" t="s">
        <v>113</v>
      </c>
      <c r="V3" s="75" t="s">
        <v>114</v>
      </c>
      <c r="W3" s="75" t="s">
        <v>115</v>
      </c>
      <c r="X3" s="75" t="s">
        <v>113</v>
      </c>
      <c r="Y3" s="75" t="s">
        <v>114</v>
      </c>
      <c r="Z3" s="75" t="s">
        <v>115</v>
      </c>
      <c r="AA3" s="75" t="s">
        <v>113</v>
      </c>
      <c r="AB3" s="75" t="s">
        <v>114</v>
      </c>
      <c r="AC3" s="75" t="s">
        <v>115</v>
      </c>
    </row>
    <row r="4" spans="2:29" ht="15.75" thickBot="1" x14ac:dyDescent="0.3">
      <c r="B4" s="4">
        <v>0</v>
      </c>
      <c r="C4" s="4">
        <v>237100</v>
      </c>
      <c r="D4" s="5">
        <v>0</v>
      </c>
      <c r="E4" s="6">
        <v>0.18</v>
      </c>
      <c r="K4" s="4">
        <v>0</v>
      </c>
      <c r="L4" s="4">
        <v>100000</v>
      </c>
      <c r="M4" s="4">
        <v>33760</v>
      </c>
      <c r="N4" s="73">
        <v>1.415</v>
      </c>
      <c r="O4" s="73">
        <v>0.438</v>
      </c>
      <c r="R4" s="76">
        <v>1</v>
      </c>
      <c r="S4" s="94" t="s">
        <v>116</v>
      </c>
      <c r="T4" s="76" t="s">
        <v>154</v>
      </c>
      <c r="U4" s="77">
        <v>5766</v>
      </c>
      <c r="V4" s="77">
        <v>5766</v>
      </c>
      <c r="W4" s="77">
        <v>1101</v>
      </c>
      <c r="X4" s="77">
        <v>1922</v>
      </c>
      <c r="Y4" s="77">
        <v>1922</v>
      </c>
      <c r="Z4" s="77">
        <v>367</v>
      </c>
      <c r="AA4" s="77">
        <v>7688</v>
      </c>
      <c r="AB4" s="77">
        <v>7688</v>
      </c>
      <c r="AC4" s="77">
        <v>1468</v>
      </c>
    </row>
    <row r="5" spans="2:29" ht="16.5" thickTop="1" thickBot="1" x14ac:dyDescent="0.3">
      <c r="B5" s="4">
        <f t="shared" ref="B5:B10" si="0">+C4+0.01</f>
        <v>237100.01</v>
      </c>
      <c r="C5" s="4">
        <v>370500</v>
      </c>
      <c r="D5" s="5">
        <v>42678</v>
      </c>
      <c r="E5" s="7">
        <v>0.26</v>
      </c>
      <c r="K5" s="4">
        <f>+L4+0.01</f>
        <v>100000.01</v>
      </c>
      <c r="L5" s="4">
        <v>200000</v>
      </c>
      <c r="M5" s="4">
        <v>60329</v>
      </c>
      <c r="N5" s="73">
        <v>1.58</v>
      </c>
      <c r="O5" s="73">
        <v>0.54800000000000004</v>
      </c>
      <c r="R5" s="78">
        <v>2</v>
      </c>
      <c r="S5" s="106" t="s">
        <v>117</v>
      </c>
      <c r="T5" s="78" t="s">
        <v>118</v>
      </c>
      <c r="U5" s="79">
        <v>4732</v>
      </c>
      <c r="V5" s="79">
        <v>4475</v>
      </c>
      <c r="W5" s="79">
        <v>944</v>
      </c>
      <c r="X5" s="79">
        <v>1577</v>
      </c>
      <c r="Y5" s="79">
        <v>1491</v>
      </c>
      <c r="Z5" s="79">
        <v>314</v>
      </c>
      <c r="AA5" s="79">
        <v>6309</v>
      </c>
      <c r="AB5" s="79">
        <v>5966</v>
      </c>
      <c r="AC5" s="79">
        <v>1258</v>
      </c>
    </row>
    <row r="6" spans="2:29" ht="15.75" thickBot="1" x14ac:dyDescent="0.3">
      <c r="B6" s="4">
        <f t="shared" si="0"/>
        <v>370500.01</v>
      </c>
      <c r="C6" s="4">
        <v>512800</v>
      </c>
      <c r="D6" s="5">
        <v>77362</v>
      </c>
      <c r="E6" s="6">
        <v>0.31</v>
      </c>
      <c r="K6" s="4">
        <f t="shared" ref="K6:K11" si="1">+L5+0.01</f>
        <v>200000.01</v>
      </c>
      <c r="L6" s="4">
        <v>300000</v>
      </c>
      <c r="M6" s="4">
        <v>86958</v>
      </c>
      <c r="N6" s="73">
        <v>1.7170000000000001</v>
      </c>
      <c r="O6" s="73">
        <v>0.60399999999999998</v>
      </c>
      <c r="R6" s="80">
        <v>3</v>
      </c>
      <c r="S6" s="107"/>
      <c r="T6" s="80" t="s">
        <v>119</v>
      </c>
      <c r="U6" s="81">
        <v>4261</v>
      </c>
      <c r="V6" s="81">
        <v>4034</v>
      </c>
      <c r="W6" s="81">
        <v>849</v>
      </c>
      <c r="X6" s="81">
        <v>1420</v>
      </c>
      <c r="Y6" s="81">
        <v>1344</v>
      </c>
      <c r="Z6" s="81">
        <v>283</v>
      </c>
      <c r="AA6" s="81">
        <v>5681</v>
      </c>
      <c r="AB6" s="81">
        <v>5378</v>
      </c>
      <c r="AC6" s="81">
        <v>1132</v>
      </c>
    </row>
    <row r="7" spans="2:29" ht="15.75" thickBot="1" x14ac:dyDescent="0.3">
      <c r="B7" s="4">
        <f t="shared" si="0"/>
        <v>512800.01</v>
      </c>
      <c r="C7" s="4">
        <v>673000</v>
      </c>
      <c r="D7" s="5">
        <v>121475</v>
      </c>
      <c r="E7" s="6">
        <v>0.36</v>
      </c>
      <c r="K7" s="4">
        <f t="shared" si="1"/>
        <v>300000.01</v>
      </c>
      <c r="L7" s="4">
        <v>400000</v>
      </c>
      <c r="M7" s="4">
        <v>110554</v>
      </c>
      <c r="N7" s="73">
        <v>1.8460000000000001</v>
      </c>
      <c r="O7" s="73">
        <v>0.65900000000000003</v>
      </c>
      <c r="R7" s="80">
        <v>4</v>
      </c>
      <c r="S7" s="107"/>
      <c r="T7" s="80" t="s">
        <v>120</v>
      </c>
      <c r="U7" s="81">
        <v>4506</v>
      </c>
      <c r="V7" s="81">
        <v>4259</v>
      </c>
      <c r="W7" s="81">
        <v>909</v>
      </c>
      <c r="X7" s="81">
        <v>795</v>
      </c>
      <c r="Y7" s="81">
        <v>751</v>
      </c>
      <c r="Z7" s="81">
        <v>160</v>
      </c>
      <c r="AA7" s="81">
        <v>5301</v>
      </c>
      <c r="AB7" s="81">
        <v>5010</v>
      </c>
      <c r="AC7" s="81">
        <v>1069</v>
      </c>
    </row>
    <row r="8" spans="2:29" ht="15.75" thickBot="1" x14ac:dyDescent="0.3">
      <c r="B8" s="4">
        <f t="shared" si="0"/>
        <v>673000.01</v>
      </c>
      <c r="C8" s="4">
        <v>857900</v>
      </c>
      <c r="D8" s="5">
        <v>179147</v>
      </c>
      <c r="E8" s="6">
        <v>0.39</v>
      </c>
      <c r="K8" s="4">
        <f t="shared" si="1"/>
        <v>400000.01</v>
      </c>
      <c r="L8" s="4">
        <v>500000</v>
      </c>
      <c r="M8" s="4">
        <v>134150</v>
      </c>
      <c r="N8" s="73">
        <v>1.976</v>
      </c>
      <c r="O8" s="73">
        <v>0.77500000000000002</v>
      </c>
      <c r="R8" s="80">
        <v>5</v>
      </c>
      <c r="S8" s="107"/>
      <c r="T8" s="80" t="s">
        <v>121</v>
      </c>
      <c r="U8" s="81">
        <v>4059</v>
      </c>
      <c r="V8" s="81">
        <v>3834</v>
      </c>
      <c r="W8" s="81">
        <v>814</v>
      </c>
      <c r="X8" s="81">
        <v>716</v>
      </c>
      <c r="Y8" s="81">
        <v>676</v>
      </c>
      <c r="Z8" s="81">
        <v>143</v>
      </c>
      <c r="AA8" s="81">
        <v>4775</v>
      </c>
      <c r="AB8" s="81">
        <v>4510</v>
      </c>
      <c r="AC8" s="81">
        <v>957</v>
      </c>
    </row>
    <row r="9" spans="2:29" ht="15.75" thickBot="1" x14ac:dyDescent="0.3">
      <c r="B9" s="4">
        <f t="shared" si="0"/>
        <v>857900.01</v>
      </c>
      <c r="C9" s="4">
        <v>1817000</v>
      </c>
      <c r="D9" s="5">
        <v>251258</v>
      </c>
      <c r="E9" s="6">
        <v>0.41</v>
      </c>
      <c r="K9" s="4">
        <f t="shared" si="1"/>
        <v>500000.01</v>
      </c>
      <c r="L9" s="4">
        <v>600000</v>
      </c>
      <c r="M9" s="4">
        <v>158856</v>
      </c>
      <c r="N9" s="73">
        <v>2.266</v>
      </c>
      <c r="O9" s="73">
        <v>0.91</v>
      </c>
      <c r="R9" s="82">
        <v>6</v>
      </c>
      <c r="S9" s="108"/>
      <c r="T9" s="82" t="s">
        <v>155</v>
      </c>
      <c r="U9" s="83">
        <v>4585</v>
      </c>
      <c r="V9" s="83">
        <v>4230</v>
      </c>
      <c r="W9" s="83">
        <v>1459</v>
      </c>
      <c r="X9" s="95"/>
      <c r="Y9" s="96"/>
      <c r="Z9" s="97"/>
      <c r="AA9" s="83">
        <v>4585</v>
      </c>
      <c r="AB9" s="83">
        <v>4230</v>
      </c>
      <c r="AC9" s="83">
        <v>1459</v>
      </c>
    </row>
    <row r="10" spans="2:29" ht="16.5" thickTop="1" thickBot="1" x14ac:dyDescent="0.3">
      <c r="B10" s="4">
        <f t="shared" si="0"/>
        <v>1817000.01</v>
      </c>
      <c r="C10" s="4">
        <v>999999999</v>
      </c>
      <c r="D10" s="5">
        <v>644489</v>
      </c>
      <c r="E10" s="6">
        <v>0.45</v>
      </c>
      <c r="K10" s="4">
        <f t="shared" si="1"/>
        <v>600000.01</v>
      </c>
      <c r="L10" s="4">
        <v>700000</v>
      </c>
      <c r="M10" s="4">
        <v>183611</v>
      </c>
      <c r="N10" s="73">
        <v>2.3050000000000002</v>
      </c>
      <c r="O10" s="73">
        <v>1.0209999999999999</v>
      </c>
      <c r="R10" s="78">
        <v>7</v>
      </c>
      <c r="S10" s="109" t="s">
        <v>122</v>
      </c>
      <c r="T10" s="78" t="s">
        <v>123</v>
      </c>
      <c r="U10" s="79">
        <v>3031</v>
      </c>
      <c r="V10" s="79">
        <v>2390</v>
      </c>
      <c r="W10" s="79">
        <v>1213</v>
      </c>
      <c r="X10" s="79">
        <v>1010</v>
      </c>
      <c r="Y10" s="79">
        <v>796</v>
      </c>
      <c r="Z10" s="79">
        <v>404</v>
      </c>
      <c r="AA10" s="79">
        <v>4041</v>
      </c>
      <c r="AB10" s="79">
        <v>3186</v>
      </c>
      <c r="AC10" s="79">
        <v>1617</v>
      </c>
    </row>
    <row r="11" spans="2:29" ht="15.75" thickBot="1" x14ac:dyDescent="0.3">
      <c r="K11" s="4">
        <f t="shared" si="1"/>
        <v>700000.01</v>
      </c>
      <c r="L11" s="4">
        <v>999999999</v>
      </c>
      <c r="M11" s="4">
        <v>209685</v>
      </c>
      <c r="N11" s="73">
        <v>2.343</v>
      </c>
      <c r="O11" s="73">
        <v>1.131</v>
      </c>
      <c r="R11" s="84">
        <v>8</v>
      </c>
      <c r="S11" s="110"/>
      <c r="T11" s="84" t="s">
        <v>124</v>
      </c>
      <c r="U11" s="85">
        <v>2952</v>
      </c>
      <c r="V11" s="85">
        <v>2322</v>
      </c>
      <c r="W11" s="85">
        <v>1180</v>
      </c>
      <c r="X11" s="85">
        <v>520</v>
      </c>
      <c r="Y11" s="85">
        <v>409</v>
      </c>
      <c r="Z11" s="85">
        <v>208</v>
      </c>
      <c r="AA11" s="85">
        <v>3472</v>
      </c>
      <c r="AB11" s="85">
        <v>2731</v>
      </c>
      <c r="AC11" s="85">
        <v>1388</v>
      </c>
    </row>
    <row r="12" spans="2:29" ht="17.25" thickTop="1" thickBot="1" x14ac:dyDescent="0.3">
      <c r="B12" s="102" t="s">
        <v>9</v>
      </c>
      <c r="C12" s="103"/>
      <c r="D12" s="103"/>
      <c r="E12" s="8" t="s">
        <v>169</v>
      </c>
      <c r="R12" s="78">
        <v>9</v>
      </c>
      <c r="S12" s="111" t="s">
        <v>125</v>
      </c>
      <c r="T12" s="78" t="s">
        <v>126</v>
      </c>
      <c r="U12" s="79">
        <v>2614</v>
      </c>
      <c r="V12" s="79">
        <v>2063</v>
      </c>
      <c r="W12" s="79">
        <v>1048</v>
      </c>
      <c r="X12" s="79">
        <v>871</v>
      </c>
      <c r="Y12" s="79">
        <v>687</v>
      </c>
      <c r="Z12" s="79">
        <v>349</v>
      </c>
      <c r="AA12" s="79">
        <v>3485</v>
      </c>
      <c r="AB12" s="79">
        <v>2750</v>
      </c>
      <c r="AC12" s="79">
        <v>1397</v>
      </c>
    </row>
    <row r="13" spans="2:29" ht="16.5" thickBot="1" x14ac:dyDescent="0.3">
      <c r="B13" s="104" t="s">
        <v>18</v>
      </c>
      <c r="C13" s="104"/>
      <c r="D13" s="11" t="s">
        <v>19</v>
      </c>
      <c r="E13" s="12" t="s">
        <v>20</v>
      </c>
      <c r="R13" s="80">
        <v>10</v>
      </c>
      <c r="S13" s="107"/>
      <c r="T13" s="80" t="s">
        <v>127</v>
      </c>
      <c r="U13" s="81">
        <v>2088</v>
      </c>
      <c r="V13" s="81">
        <v>1650</v>
      </c>
      <c r="W13" s="81">
        <v>839</v>
      </c>
      <c r="X13" s="81">
        <v>696</v>
      </c>
      <c r="Y13" s="81">
        <v>550</v>
      </c>
      <c r="Z13" s="81">
        <v>279</v>
      </c>
      <c r="AA13" s="81">
        <v>2784</v>
      </c>
      <c r="AB13" s="81">
        <v>2200</v>
      </c>
      <c r="AC13" s="81">
        <v>1118</v>
      </c>
    </row>
    <row r="14" spans="2:29" ht="15.75" thickBot="1" x14ac:dyDescent="0.3">
      <c r="B14" s="105" t="s">
        <v>10</v>
      </c>
      <c r="C14" s="105"/>
      <c r="D14" s="9">
        <v>17235</v>
      </c>
      <c r="E14" s="10">
        <f>+D14</f>
        <v>17235</v>
      </c>
      <c r="R14" s="80">
        <v>11</v>
      </c>
      <c r="S14" s="107"/>
      <c r="T14" s="80" t="s">
        <v>128</v>
      </c>
      <c r="U14" s="81">
        <v>2355</v>
      </c>
      <c r="V14" s="81">
        <v>1767</v>
      </c>
      <c r="W14" s="81">
        <v>944</v>
      </c>
      <c r="X14" s="81">
        <v>415</v>
      </c>
      <c r="Y14" s="81">
        <v>311</v>
      </c>
      <c r="Z14" s="81">
        <v>166</v>
      </c>
      <c r="AA14" s="81">
        <v>2770</v>
      </c>
      <c r="AB14" s="81">
        <v>2078</v>
      </c>
      <c r="AC14" s="81">
        <v>1110</v>
      </c>
    </row>
    <row r="15" spans="2:29" ht="15.75" thickBot="1" x14ac:dyDescent="0.3">
      <c r="B15" s="105" t="s">
        <v>11</v>
      </c>
      <c r="C15" s="105"/>
      <c r="D15" s="9">
        <v>9444</v>
      </c>
      <c r="E15" s="10">
        <f>+E14+D15</f>
        <v>26679</v>
      </c>
      <c r="R15" s="80">
        <v>12</v>
      </c>
      <c r="S15" s="107"/>
      <c r="T15" s="80" t="s">
        <v>129</v>
      </c>
      <c r="U15" s="81">
        <v>1878</v>
      </c>
      <c r="V15" s="81">
        <v>1418</v>
      </c>
      <c r="W15" s="81">
        <v>754</v>
      </c>
      <c r="X15" s="81">
        <v>331</v>
      </c>
      <c r="Y15" s="81">
        <v>250</v>
      </c>
      <c r="Z15" s="81">
        <v>133</v>
      </c>
      <c r="AA15" s="81">
        <v>2209</v>
      </c>
      <c r="AB15" s="81">
        <v>1668</v>
      </c>
      <c r="AC15" s="81">
        <v>887</v>
      </c>
    </row>
    <row r="16" spans="2:29" ht="15.75" thickBot="1" x14ac:dyDescent="0.3">
      <c r="B16" s="105" t="s">
        <v>12</v>
      </c>
      <c r="C16" s="105"/>
      <c r="D16" s="9">
        <v>3145</v>
      </c>
      <c r="E16" s="10">
        <f>+E15+D16</f>
        <v>29824</v>
      </c>
      <c r="R16" s="86">
        <v>13</v>
      </c>
      <c r="S16" s="112"/>
      <c r="T16" s="86" t="s">
        <v>130</v>
      </c>
      <c r="U16" s="87">
        <v>2211</v>
      </c>
      <c r="V16" s="87">
        <v>1663</v>
      </c>
      <c r="W16" s="87">
        <v>893</v>
      </c>
      <c r="X16" s="87">
        <v>552</v>
      </c>
      <c r="Y16" s="87">
        <v>415</v>
      </c>
      <c r="Z16" s="87">
        <v>223</v>
      </c>
      <c r="AA16" s="87">
        <v>2763</v>
      </c>
      <c r="AB16" s="87">
        <v>2078</v>
      </c>
      <c r="AC16" s="87">
        <v>1116</v>
      </c>
    </row>
    <row r="17" spans="2:29" ht="16.5" thickTop="1" thickBot="1" x14ac:dyDescent="0.3">
      <c r="R17" s="78">
        <v>14</v>
      </c>
      <c r="S17" s="113" t="s">
        <v>131</v>
      </c>
      <c r="T17" s="78" t="s">
        <v>132</v>
      </c>
      <c r="U17" s="79">
        <v>2070</v>
      </c>
      <c r="V17" s="79">
        <v>1634</v>
      </c>
      <c r="W17" s="79">
        <v>827</v>
      </c>
      <c r="X17" s="79"/>
      <c r="Y17" s="79"/>
      <c r="Z17" s="79"/>
      <c r="AA17" s="79">
        <v>2070</v>
      </c>
      <c r="AB17" s="79">
        <v>1634</v>
      </c>
      <c r="AC17" s="79">
        <v>827</v>
      </c>
    </row>
    <row r="18" spans="2:29" ht="16.5" thickBot="1" x14ac:dyDescent="0.3">
      <c r="B18" s="102" t="s">
        <v>13</v>
      </c>
      <c r="C18" s="103"/>
      <c r="D18" s="103"/>
      <c r="E18" s="8" t="s">
        <v>169</v>
      </c>
      <c r="R18" s="88">
        <v>15</v>
      </c>
      <c r="S18" s="114"/>
      <c r="T18" s="88" t="s">
        <v>133</v>
      </c>
      <c r="U18" s="89">
        <v>1483</v>
      </c>
      <c r="V18" s="89">
        <v>1483</v>
      </c>
      <c r="W18" s="89">
        <v>1483</v>
      </c>
      <c r="X18" s="89"/>
      <c r="Y18" s="89"/>
      <c r="Z18" s="89"/>
      <c r="AA18" s="89">
        <v>1483</v>
      </c>
      <c r="AB18" s="89">
        <v>1483</v>
      </c>
      <c r="AC18" s="89">
        <v>1483</v>
      </c>
    </row>
    <row r="19" spans="2:29" ht="16.5" thickTop="1" thickBot="1" x14ac:dyDescent="0.3">
      <c r="B19" s="13" t="s">
        <v>14</v>
      </c>
      <c r="C19" s="14" t="s">
        <v>0</v>
      </c>
      <c r="D19" s="14" t="s">
        <v>15</v>
      </c>
      <c r="E19" s="14" t="s">
        <v>1</v>
      </c>
      <c r="R19" s="78">
        <v>16</v>
      </c>
      <c r="S19" s="115" t="s">
        <v>134</v>
      </c>
      <c r="T19" s="78" t="s">
        <v>135</v>
      </c>
      <c r="U19" s="79">
        <v>2594</v>
      </c>
      <c r="V19" s="79">
        <v>2046</v>
      </c>
      <c r="W19" s="79">
        <v>1038</v>
      </c>
      <c r="X19" s="79"/>
      <c r="Y19" s="79"/>
      <c r="Z19" s="79"/>
      <c r="AA19" s="79">
        <v>2594</v>
      </c>
      <c r="AB19" s="79">
        <v>2046</v>
      </c>
      <c r="AC19" s="79">
        <v>1038</v>
      </c>
    </row>
    <row r="20" spans="2:29" ht="15.75" thickBot="1" x14ac:dyDescent="0.3">
      <c r="B20" s="15">
        <v>1</v>
      </c>
      <c r="C20" s="9">
        <v>364</v>
      </c>
      <c r="D20" s="10">
        <f>+C20</f>
        <v>364</v>
      </c>
      <c r="E20" s="10">
        <f>+D20/4</f>
        <v>91</v>
      </c>
      <c r="R20" s="80">
        <v>17</v>
      </c>
      <c r="S20" s="107"/>
      <c r="T20" s="80" t="s">
        <v>136</v>
      </c>
      <c r="U20" s="81">
        <v>2076</v>
      </c>
      <c r="V20" s="81">
        <v>1637</v>
      </c>
      <c r="W20" s="81">
        <v>830</v>
      </c>
      <c r="X20" s="81"/>
      <c r="Y20" s="81"/>
      <c r="Z20" s="81"/>
      <c r="AA20" s="81">
        <v>2076</v>
      </c>
      <c r="AB20" s="81">
        <v>1637</v>
      </c>
      <c r="AC20" s="81">
        <v>830</v>
      </c>
    </row>
    <row r="21" spans="2:29" ht="15.75" thickBot="1" x14ac:dyDescent="0.3">
      <c r="B21" s="15">
        <v>2</v>
      </c>
      <c r="C21" s="9">
        <v>364</v>
      </c>
      <c r="D21" s="10">
        <f>+C21+D20</f>
        <v>728</v>
      </c>
      <c r="E21" s="10">
        <f t="shared" ref="E21:E27" si="2">+D21/4</f>
        <v>182</v>
      </c>
      <c r="R21" s="80">
        <v>18</v>
      </c>
      <c r="S21" s="107"/>
      <c r="T21" s="80" t="s">
        <v>137</v>
      </c>
      <c r="U21" s="81">
        <v>2229</v>
      </c>
      <c r="V21" s="81">
        <v>1671</v>
      </c>
      <c r="W21" s="81">
        <v>896</v>
      </c>
      <c r="X21" s="81"/>
      <c r="Y21" s="81"/>
      <c r="Z21" s="81"/>
      <c r="AA21" s="81">
        <v>2229</v>
      </c>
      <c r="AB21" s="81">
        <v>1671</v>
      </c>
      <c r="AC21" s="81">
        <v>896</v>
      </c>
    </row>
    <row r="22" spans="2:29" ht="15.75" thickBot="1" x14ac:dyDescent="0.3">
      <c r="B22" s="15">
        <v>3</v>
      </c>
      <c r="C22" s="9">
        <v>246</v>
      </c>
      <c r="D22" s="10">
        <f t="shared" ref="D22:D27" si="3">+C22+D21</f>
        <v>974</v>
      </c>
      <c r="E22" s="10">
        <f t="shared" si="2"/>
        <v>243.5</v>
      </c>
      <c r="R22" s="80">
        <v>19</v>
      </c>
      <c r="S22" s="107"/>
      <c r="T22" s="80" t="s">
        <v>138</v>
      </c>
      <c r="U22" s="81">
        <v>1781</v>
      </c>
      <c r="V22" s="81">
        <v>1340</v>
      </c>
      <c r="W22" s="81">
        <v>715</v>
      </c>
      <c r="X22" s="81"/>
      <c r="Y22" s="81"/>
      <c r="Z22" s="81"/>
      <c r="AA22" s="81">
        <v>1781</v>
      </c>
      <c r="AB22" s="81">
        <v>1340</v>
      </c>
      <c r="AC22" s="81">
        <v>715</v>
      </c>
    </row>
    <row r="23" spans="2:29" ht="15.75" thickBot="1" x14ac:dyDescent="0.3">
      <c r="B23" s="15">
        <v>4</v>
      </c>
      <c r="C23" s="9">
        <v>246</v>
      </c>
      <c r="D23" s="10">
        <f t="shared" si="3"/>
        <v>1220</v>
      </c>
      <c r="E23" s="10">
        <f t="shared" si="2"/>
        <v>305</v>
      </c>
      <c r="R23" s="90">
        <v>20</v>
      </c>
      <c r="S23" s="116"/>
      <c r="T23" s="90" t="s">
        <v>139</v>
      </c>
      <c r="U23" s="91">
        <v>2062</v>
      </c>
      <c r="V23" s="91">
        <v>1584</v>
      </c>
      <c r="W23" s="91">
        <v>820</v>
      </c>
      <c r="X23" s="91"/>
      <c r="Y23" s="91"/>
      <c r="Z23" s="91"/>
      <c r="AA23" s="91">
        <v>2062</v>
      </c>
      <c r="AB23" s="91">
        <v>1548</v>
      </c>
      <c r="AC23" s="91">
        <v>820</v>
      </c>
    </row>
    <row r="24" spans="2:29" ht="16.5" thickTop="1" thickBot="1" x14ac:dyDescent="0.3">
      <c r="B24" s="15">
        <v>5</v>
      </c>
      <c r="C24" s="9">
        <v>246</v>
      </c>
      <c r="D24" s="10">
        <f t="shared" si="3"/>
        <v>1466</v>
      </c>
      <c r="E24" s="10">
        <f t="shared" si="2"/>
        <v>366.5</v>
      </c>
      <c r="R24" s="78">
        <v>21</v>
      </c>
      <c r="S24" s="117" t="s">
        <v>162</v>
      </c>
      <c r="T24" s="78" t="s">
        <v>142</v>
      </c>
      <c r="U24" s="79">
        <v>1279</v>
      </c>
      <c r="V24" s="79">
        <v>1279</v>
      </c>
      <c r="W24" s="79">
        <v>464</v>
      </c>
      <c r="X24" s="79"/>
      <c r="Y24" s="79"/>
      <c r="Z24" s="79"/>
      <c r="AA24" s="79">
        <v>1279</v>
      </c>
      <c r="AB24" s="79">
        <v>1279</v>
      </c>
      <c r="AC24" s="79">
        <v>464</v>
      </c>
    </row>
    <row r="25" spans="2:29" ht="15.75" thickBot="1" x14ac:dyDescent="0.3">
      <c r="B25" s="15">
        <v>6</v>
      </c>
      <c r="C25" s="9">
        <v>246</v>
      </c>
      <c r="D25" s="10">
        <f t="shared" si="3"/>
        <v>1712</v>
      </c>
      <c r="E25" s="10">
        <f t="shared" si="2"/>
        <v>428</v>
      </c>
      <c r="R25" s="80">
        <v>22</v>
      </c>
      <c r="S25" s="107"/>
      <c r="T25" s="80" t="s">
        <v>156</v>
      </c>
      <c r="U25" s="81">
        <v>1758</v>
      </c>
      <c r="V25" s="81">
        <v>1758</v>
      </c>
      <c r="W25" s="81">
        <v>495</v>
      </c>
      <c r="X25" s="81"/>
      <c r="Y25" s="81"/>
      <c r="Z25" s="81"/>
      <c r="AA25" s="81">
        <v>1758</v>
      </c>
      <c r="AB25" s="81">
        <v>1758</v>
      </c>
      <c r="AC25" s="81">
        <v>495</v>
      </c>
    </row>
    <row r="26" spans="2:29" ht="15.75" thickBot="1" x14ac:dyDescent="0.3">
      <c r="B26" s="15">
        <v>7</v>
      </c>
      <c r="C26" s="9">
        <v>246</v>
      </c>
      <c r="D26" s="10">
        <f t="shared" si="3"/>
        <v>1958</v>
      </c>
      <c r="E26" s="10">
        <f t="shared" si="2"/>
        <v>489.5</v>
      </c>
      <c r="R26" s="80">
        <v>23</v>
      </c>
      <c r="S26" s="107"/>
      <c r="T26" s="80" t="s">
        <v>157</v>
      </c>
      <c r="U26" s="81">
        <v>2595</v>
      </c>
      <c r="V26" s="81">
        <v>2595</v>
      </c>
      <c r="W26" s="81">
        <v>695</v>
      </c>
      <c r="X26" s="81"/>
      <c r="Y26" s="81"/>
      <c r="Z26" s="81"/>
      <c r="AA26" s="81">
        <v>2595</v>
      </c>
      <c r="AB26" s="81">
        <v>2595</v>
      </c>
      <c r="AC26" s="81">
        <v>695</v>
      </c>
    </row>
    <row r="27" spans="2:29" ht="15.75" thickBot="1" x14ac:dyDescent="0.3">
      <c r="B27" s="15">
        <v>8</v>
      </c>
      <c r="C27" s="9">
        <v>246</v>
      </c>
      <c r="D27" s="10">
        <f t="shared" si="3"/>
        <v>2204</v>
      </c>
      <c r="E27" s="10">
        <f t="shared" si="2"/>
        <v>551</v>
      </c>
      <c r="R27" s="80">
        <v>24</v>
      </c>
      <c r="S27" s="107"/>
      <c r="T27" s="80" t="s">
        <v>143</v>
      </c>
      <c r="U27" s="81">
        <v>1005</v>
      </c>
      <c r="V27" s="81">
        <v>1005</v>
      </c>
      <c r="W27" s="81">
        <v>260</v>
      </c>
      <c r="X27" s="81"/>
      <c r="Y27" s="81"/>
      <c r="Z27" s="81"/>
      <c r="AA27" s="81">
        <v>1005</v>
      </c>
      <c r="AB27" s="81">
        <v>1005</v>
      </c>
      <c r="AC27" s="81">
        <v>260</v>
      </c>
    </row>
    <row r="28" spans="2:29" ht="15.75" thickBot="1" x14ac:dyDescent="0.3">
      <c r="R28" s="80">
        <v>25</v>
      </c>
      <c r="S28" s="107"/>
      <c r="T28" s="80" t="s">
        <v>158</v>
      </c>
      <c r="U28" s="81">
        <v>1253</v>
      </c>
      <c r="V28" s="81">
        <v>1253</v>
      </c>
      <c r="W28" s="81">
        <v>310</v>
      </c>
      <c r="X28" s="81"/>
      <c r="Y28" s="81"/>
      <c r="Z28" s="81"/>
      <c r="AA28" s="81">
        <v>1253</v>
      </c>
      <c r="AB28" s="81">
        <v>1253</v>
      </c>
      <c r="AC28" s="81">
        <v>310</v>
      </c>
    </row>
    <row r="29" spans="2:29" ht="15.75" thickBot="1" x14ac:dyDescent="0.3">
      <c r="B29" s="15" t="s">
        <v>61</v>
      </c>
      <c r="G29" t="s">
        <v>98</v>
      </c>
      <c r="R29" s="80">
        <v>26</v>
      </c>
      <c r="S29" s="107"/>
      <c r="T29" s="80" t="s">
        <v>159</v>
      </c>
      <c r="U29" s="81">
        <v>1916</v>
      </c>
      <c r="V29" s="81">
        <v>1916</v>
      </c>
      <c r="W29" s="81">
        <v>435</v>
      </c>
      <c r="X29" s="81"/>
      <c r="Y29" s="81"/>
      <c r="Z29" s="81"/>
      <c r="AA29" s="81">
        <v>1916</v>
      </c>
      <c r="AB29" s="81">
        <v>1916</v>
      </c>
      <c r="AC29" s="81">
        <v>435</v>
      </c>
    </row>
    <row r="30" spans="2:29" ht="15.75" thickBot="1" x14ac:dyDescent="0.3">
      <c r="B30" s="16"/>
      <c r="C30" s="17"/>
      <c r="D30" s="18" t="s">
        <v>56</v>
      </c>
      <c r="E30" s="19" t="s">
        <v>27</v>
      </c>
      <c r="G30" s="65"/>
      <c r="H30" s="66"/>
      <c r="I30" s="67"/>
      <c r="R30" s="80">
        <v>27</v>
      </c>
      <c r="S30" s="107"/>
      <c r="T30" s="80" t="s">
        <v>144</v>
      </c>
      <c r="U30" s="81">
        <v>968</v>
      </c>
      <c r="V30" s="81">
        <v>968</v>
      </c>
      <c r="W30" s="81">
        <v>583</v>
      </c>
      <c r="X30" s="81"/>
      <c r="Y30" s="81"/>
      <c r="Z30" s="81"/>
      <c r="AA30" s="81">
        <v>968</v>
      </c>
      <c r="AB30" s="81">
        <v>968</v>
      </c>
      <c r="AC30" s="81">
        <v>583</v>
      </c>
    </row>
    <row r="31" spans="2:29" ht="15.75" thickBot="1" x14ac:dyDescent="0.3">
      <c r="B31" s="20" t="s">
        <v>49</v>
      </c>
      <c r="C31" s="21"/>
      <c r="D31" s="92">
        <f>Payslip!C7+(Payslip!C8*0.8)+Payslip!C9+Payslip!C10+Payslip!C12+Payslip!C13+Payslip!C14+Payslip!C15+Payslip!C16+Payslip!I9+Payslip!I10+Payslip!I11+Payslip!L8+Payslip!L9-Payslip!F10-Payslip!F11-Payslip!I10-Payslip!I11-Payslip!L7</f>
        <v>0</v>
      </c>
      <c r="E31" s="23">
        <f>Payslip!C11</f>
        <v>0</v>
      </c>
      <c r="G31" s="68" t="s">
        <v>100</v>
      </c>
      <c r="I31" s="23">
        <f>Payslip!C7+Payslip!C8+Payslip!C9+Payslip!C10+Payslip!C11+Payslip!C12+Payslip!C13+Payslip!C14+Payslip!C15+Payslip!C16+Payslip!I9+Payslip!I10+Payslip!I11+Payslip!L8</f>
        <v>0</v>
      </c>
      <c r="K31" s="64"/>
      <c r="R31" s="80">
        <v>28</v>
      </c>
      <c r="S31" s="107"/>
      <c r="T31" s="80" t="s">
        <v>160</v>
      </c>
      <c r="U31" s="81">
        <v>1629</v>
      </c>
      <c r="V31" s="81">
        <v>1629</v>
      </c>
      <c r="W31" s="81">
        <v>637</v>
      </c>
      <c r="X31" s="81"/>
      <c r="Y31" s="81"/>
      <c r="Z31" s="81"/>
      <c r="AA31" s="81">
        <v>1629</v>
      </c>
      <c r="AB31" s="81">
        <v>1629</v>
      </c>
      <c r="AC31" s="81">
        <v>637</v>
      </c>
    </row>
    <row r="32" spans="2:29" ht="15.75" thickBot="1" x14ac:dyDescent="0.3">
      <c r="B32" s="20" t="s">
        <v>50</v>
      </c>
      <c r="C32" s="21"/>
      <c r="D32" s="22">
        <f>+D31*12</f>
        <v>0</v>
      </c>
      <c r="E32" s="23">
        <f>+D32+E31</f>
        <v>0</v>
      </c>
      <c r="G32" s="68" t="s">
        <v>99</v>
      </c>
      <c r="I32" s="23">
        <f>+Payslip!F10+Payslip!F11+Payslip!I10+Payslip!I11+Payslip!L7</f>
        <v>0</v>
      </c>
      <c r="K32" s="64"/>
      <c r="R32" s="80">
        <v>29</v>
      </c>
      <c r="S32" s="118"/>
      <c r="T32" s="80" t="s">
        <v>161</v>
      </c>
      <c r="U32" s="81">
        <v>2536</v>
      </c>
      <c r="V32" s="81">
        <v>2536</v>
      </c>
      <c r="W32" s="81">
        <v>688</v>
      </c>
      <c r="X32" s="81"/>
      <c r="Y32" s="81"/>
      <c r="Z32" s="81"/>
      <c r="AA32" s="81">
        <v>2536</v>
      </c>
      <c r="AB32" s="81">
        <v>2536</v>
      </c>
      <c r="AC32" s="81">
        <v>688</v>
      </c>
    </row>
    <row r="33" spans="2:29" ht="15.75" thickBot="1" x14ac:dyDescent="0.3">
      <c r="B33" s="20" t="s">
        <v>3</v>
      </c>
      <c r="C33" s="21"/>
      <c r="D33" s="22">
        <f>VLOOKUP(D32,$B$4:$E$10,1)</f>
        <v>0</v>
      </c>
      <c r="E33" s="23">
        <f>VLOOKUP(E32,$B$4:$E$10,1)</f>
        <v>0</v>
      </c>
      <c r="G33" s="68" t="s">
        <v>101</v>
      </c>
      <c r="I33" s="23">
        <f>IF(I32&gt;(350000/12),350000/12,I32)</f>
        <v>0</v>
      </c>
      <c r="R33" s="80"/>
      <c r="S33" s="80"/>
      <c r="T33" s="80"/>
      <c r="U33" s="80"/>
      <c r="V33" s="80"/>
      <c r="W33" s="80"/>
      <c r="X33" s="78"/>
      <c r="Y33" s="78"/>
      <c r="Z33" s="78"/>
      <c r="AA33" s="78"/>
      <c r="AB33" s="78"/>
      <c r="AC33" s="78"/>
    </row>
    <row r="34" spans="2:29" ht="15.75" thickBot="1" x14ac:dyDescent="0.3">
      <c r="B34" s="20" t="s">
        <v>51</v>
      </c>
      <c r="C34" s="21"/>
      <c r="D34" s="22">
        <f>+D32-D33</f>
        <v>0</v>
      </c>
      <c r="E34" s="23">
        <f>+E32-E33</f>
        <v>0</v>
      </c>
      <c r="G34" s="68" t="s">
        <v>102</v>
      </c>
      <c r="I34" s="23">
        <f>IFERROR(IF(I33/I31&gt;0.275,I31*0.275,I33),0)</f>
        <v>0</v>
      </c>
      <c r="R34" s="80"/>
      <c r="S34" s="80"/>
      <c r="T34" s="80" t="s">
        <v>141</v>
      </c>
      <c r="U34" s="80" t="s">
        <v>140</v>
      </c>
      <c r="V34" s="80">
        <v>329</v>
      </c>
      <c r="W34" s="80"/>
      <c r="X34" s="80"/>
      <c r="Y34" s="80"/>
      <c r="Z34" s="80"/>
      <c r="AA34" s="80"/>
      <c r="AB34" s="80"/>
      <c r="AC34" s="80"/>
    </row>
    <row r="35" spans="2:29" ht="15.75" thickBot="1" x14ac:dyDescent="0.3">
      <c r="B35" s="20" t="s">
        <v>52</v>
      </c>
      <c r="C35" s="21"/>
      <c r="D35" s="24">
        <f>VLOOKUP(D32,$B$4:$E$10,4)</f>
        <v>0.18</v>
      </c>
      <c r="E35" s="25">
        <f>VLOOKUP(E32,$B$4:$E$10,4)</f>
        <v>0.18</v>
      </c>
      <c r="G35" s="68" t="s">
        <v>103</v>
      </c>
      <c r="I35" s="23">
        <f>IF(I32&gt;I34,I32-I34,0)</f>
        <v>0</v>
      </c>
      <c r="R35" s="80"/>
      <c r="S35" s="80"/>
      <c r="T35" s="80"/>
      <c r="U35" s="80" t="s">
        <v>145</v>
      </c>
      <c r="V35" s="80">
        <v>399</v>
      </c>
      <c r="W35" s="80"/>
      <c r="X35" s="80"/>
      <c r="Y35" s="80"/>
      <c r="Z35" s="80"/>
      <c r="AA35" s="80"/>
      <c r="AB35" s="80"/>
      <c r="AC35" s="80"/>
    </row>
    <row r="36" spans="2:29" ht="15.75" thickBot="1" x14ac:dyDescent="0.3">
      <c r="B36" s="20" t="s">
        <v>53</v>
      </c>
      <c r="C36" s="21"/>
      <c r="D36" s="22">
        <f>+D34*D35</f>
        <v>0</v>
      </c>
      <c r="E36" s="23">
        <f>+E34*E35</f>
        <v>0</v>
      </c>
      <c r="G36" s="69"/>
      <c r="H36" s="70"/>
      <c r="I36" s="30"/>
      <c r="R36" s="80"/>
      <c r="S36" s="80"/>
      <c r="T36" s="80"/>
      <c r="U36" s="80" t="s">
        <v>146</v>
      </c>
      <c r="V36" s="80">
        <v>465</v>
      </c>
      <c r="W36" s="80"/>
      <c r="X36" s="80"/>
      <c r="Y36" s="80"/>
      <c r="Z36" s="80"/>
      <c r="AA36" s="80"/>
      <c r="AB36" s="80"/>
      <c r="AC36" s="80"/>
    </row>
    <row r="37" spans="2:29" ht="15.75" thickBot="1" x14ac:dyDescent="0.3">
      <c r="B37" s="20" t="s">
        <v>54</v>
      </c>
      <c r="C37" s="21"/>
      <c r="D37" s="22">
        <f>VLOOKUP(D32,$B$4:$E$10,3)</f>
        <v>0</v>
      </c>
      <c r="E37" s="23">
        <f>VLOOKUP(E32,$B$4:$E$10,3)</f>
        <v>0</v>
      </c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</row>
    <row r="38" spans="2:29" ht="15.75" thickBot="1" x14ac:dyDescent="0.3">
      <c r="B38" s="20" t="s">
        <v>5</v>
      </c>
      <c r="C38" s="21"/>
      <c r="D38" s="22">
        <f>IF(Payslip!$L$12&lt;65,$E$14,IF(Payslip!$L$12&gt;74,$E$16,$E$15))</f>
        <v>17235</v>
      </c>
      <c r="E38" s="23">
        <f>IF(Payslip!$L$12&lt;65,$E$14,IF(Payslip!$L$12&gt;74,$E$16,$E$15))</f>
        <v>17235</v>
      </c>
      <c r="I38" s="64"/>
      <c r="R38" s="80"/>
      <c r="S38" s="80"/>
      <c r="T38" s="80" t="s">
        <v>147</v>
      </c>
      <c r="U38" s="80" t="s">
        <v>148</v>
      </c>
      <c r="V38" s="80">
        <v>99</v>
      </c>
      <c r="W38" s="80"/>
      <c r="X38" s="80"/>
      <c r="Y38" s="80"/>
      <c r="Z38" s="80"/>
      <c r="AA38" s="80"/>
      <c r="AB38" s="80"/>
      <c r="AC38" s="80"/>
    </row>
    <row r="39" spans="2:29" ht="15.75" thickBot="1" x14ac:dyDescent="0.3">
      <c r="B39" s="20" t="s">
        <v>6</v>
      </c>
      <c r="C39" s="21"/>
      <c r="D39" s="22">
        <f>+D36+D37-D38</f>
        <v>-17235</v>
      </c>
      <c r="E39" s="23">
        <f>+E36+E37-E38</f>
        <v>-17235</v>
      </c>
      <c r="R39" s="80"/>
      <c r="S39" s="80"/>
      <c r="T39" s="80"/>
      <c r="U39" s="80" t="s">
        <v>149</v>
      </c>
      <c r="V39" s="80">
        <v>59</v>
      </c>
      <c r="W39" s="80"/>
      <c r="X39" s="80"/>
      <c r="Y39" s="80"/>
      <c r="Z39" s="80"/>
      <c r="AA39" s="80"/>
      <c r="AB39" s="80"/>
      <c r="AC39" s="80"/>
    </row>
    <row r="40" spans="2:29" ht="15.75" thickBot="1" x14ac:dyDescent="0.3">
      <c r="B40" s="20"/>
      <c r="C40" s="21"/>
      <c r="D40" s="22"/>
      <c r="E40" s="26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</row>
    <row r="41" spans="2:29" ht="15.75" thickBot="1" x14ac:dyDescent="0.3">
      <c r="B41" s="20" t="s">
        <v>57</v>
      </c>
      <c r="C41" s="21"/>
      <c r="D41" s="22">
        <f>+D39/12</f>
        <v>-1436.25</v>
      </c>
      <c r="E41" s="26"/>
      <c r="R41" s="80"/>
      <c r="S41" s="80"/>
      <c r="T41" s="80" t="s">
        <v>150</v>
      </c>
      <c r="U41" s="80" t="s">
        <v>140</v>
      </c>
      <c r="V41" s="80">
        <v>70</v>
      </c>
      <c r="W41" s="80" t="s">
        <v>152</v>
      </c>
      <c r="X41" s="80"/>
      <c r="Y41" s="80"/>
      <c r="Z41" s="80"/>
      <c r="AA41" s="80"/>
      <c r="AB41" s="80"/>
      <c r="AC41" s="80"/>
    </row>
    <row r="42" spans="2:29" ht="15.75" thickBot="1" x14ac:dyDescent="0.3">
      <c r="B42" s="20" t="s">
        <v>58</v>
      </c>
      <c r="C42" s="21"/>
      <c r="D42" s="22">
        <f>Payslip!L10</f>
        <v>0</v>
      </c>
      <c r="E42" s="26"/>
      <c r="R42" s="80"/>
      <c r="S42" s="80"/>
      <c r="T42" s="80"/>
      <c r="U42" s="80" t="s">
        <v>145</v>
      </c>
      <c r="V42" s="80">
        <v>90</v>
      </c>
      <c r="W42" s="80"/>
      <c r="X42" s="80"/>
      <c r="Y42" s="80"/>
      <c r="Z42" s="80"/>
      <c r="AA42" s="80"/>
      <c r="AB42" s="80"/>
      <c r="AC42" s="80"/>
    </row>
    <row r="43" spans="2:29" ht="15.75" thickBot="1" x14ac:dyDescent="0.3">
      <c r="B43" s="20" t="s">
        <v>7</v>
      </c>
      <c r="C43" s="21"/>
      <c r="D43" s="22">
        <f>E39-D39</f>
        <v>0</v>
      </c>
      <c r="E43" s="26"/>
      <c r="R43" s="80"/>
      <c r="S43" s="80"/>
      <c r="T43" s="80"/>
      <c r="U43" s="80" t="s">
        <v>146</v>
      </c>
      <c r="V43" s="80">
        <v>105</v>
      </c>
      <c r="W43" s="80"/>
      <c r="X43" s="80"/>
      <c r="Y43" s="80"/>
      <c r="Z43" s="80"/>
      <c r="AA43" s="80"/>
      <c r="AB43" s="80"/>
      <c r="AC43" s="80"/>
    </row>
    <row r="44" spans="2:29" ht="15.75" thickBot="1" x14ac:dyDescent="0.3">
      <c r="B44" s="20"/>
      <c r="C44" s="21"/>
      <c r="D44" s="22"/>
      <c r="E44" s="26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</row>
    <row r="45" spans="2:29" ht="15.75" thickBot="1" x14ac:dyDescent="0.3">
      <c r="B45" s="27" t="s">
        <v>59</v>
      </c>
      <c r="C45" s="28"/>
      <c r="D45" s="29">
        <f>+D41-D42+D43</f>
        <v>-1436.25</v>
      </c>
      <c r="E45" s="30"/>
      <c r="R45" s="80"/>
      <c r="S45" s="80"/>
      <c r="T45" s="80" t="s">
        <v>151</v>
      </c>
      <c r="U45" s="80" t="s">
        <v>140</v>
      </c>
      <c r="V45" s="80">
        <v>360</v>
      </c>
      <c r="W45" s="80"/>
      <c r="X45" s="80"/>
      <c r="Y45" s="80"/>
      <c r="Z45" s="80"/>
      <c r="AA45" s="80"/>
      <c r="AB45" s="80"/>
      <c r="AC45" s="80"/>
    </row>
    <row r="46" spans="2:29" ht="15.75" thickBot="1" x14ac:dyDescent="0.3">
      <c r="D46" s="1"/>
      <c r="R46" s="80"/>
      <c r="S46" s="80"/>
      <c r="T46" s="80"/>
      <c r="U46" s="80" t="s">
        <v>145</v>
      </c>
      <c r="V46" s="80">
        <v>440</v>
      </c>
      <c r="W46" s="80"/>
      <c r="X46" s="80"/>
      <c r="Y46" s="80"/>
      <c r="Z46" s="80"/>
      <c r="AA46" s="80"/>
      <c r="AB46" s="80"/>
      <c r="AC46" s="80"/>
    </row>
    <row r="47" spans="2:29" ht="15.75" thickBot="1" x14ac:dyDescent="0.3">
      <c r="B47" s="2" t="s">
        <v>62</v>
      </c>
      <c r="D47" s="1"/>
      <c r="E47" s="64">
        <f>+Payslip!C7+Payslip!C8+Payslip!C9+Payslip!C11+Payslip!C12+Payslip!C13+Payslip!C14+Payslip!C15+Payslip!C16+Payslip!L8+Payslip!L9+Payslip!I9</f>
        <v>0</v>
      </c>
      <c r="F47">
        <f>+E47*0.01</f>
        <v>0</v>
      </c>
      <c r="R47" s="80"/>
      <c r="S47" s="80"/>
      <c r="T47" s="80"/>
      <c r="U47" s="80" t="s">
        <v>146</v>
      </c>
      <c r="V47" s="80">
        <v>490</v>
      </c>
      <c r="W47" s="80"/>
      <c r="X47" s="80"/>
      <c r="Y47" s="80"/>
      <c r="Z47" s="80"/>
      <c r="AA47" s="80"/>
      <c r="AB47" s="80"/>
      <c r="AC47" s="80"/>
    </row>
    <row r="48" spans="2:29" x14ac:dyDescent="0.25">
      <c r="D48" s="1"/>
    </row>
    <row r="49" spans="4:4" x14ac:dyDescent="0.25">
      <c r="D49" s="1"/>
    </row>
  </sheetData>
  <mergeCells count="17">
    <mergeCell ref="S19:S23"/>
    <mergeCell ref="S24:S32"/>
    <mergeCell ref="K2:N2"/>
    <mergeCell ref="U2:W2"/>
    <mergeCell ref="X2:Z2"/>
    <mergeCell ref="AA2:AC2"/>
    <mergeCell ref="B18:D18"/>
    <mergeCell ref="B13:C13"/>
    <mergeCell ref="B2:D2"/>
    <mergeCell ref="B12:D12"/>
    <mergeCell ref="B14:C14"/>
    <mergeCell ref="B15:C15"/>
    <mergeCell ref="B16:C16"/>
    <mergeCell ref="S5:S9"/>
    <mergeCell ref="S10:S11"/>
    <mergeCell ref="S12:S16"/>
    <mergeCell ref="S17:S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39"/>
  <sheetViews>
    <sheetView tabSelected="1" zoomScaleNormal="100" workbookViewId="0"/>
  </sheetViews>
  <sheetFormatPr defaultColWidth="0" defaultRowHeight="15" zeroHeight="1" x14ac:dyDescent="0.25"/>
  <cols>
    <col min="1" max="1" width="2.28515625" style="38" customWidth="1"/>
    <col min="2" max="2" width="20.7109375" style="38" customWidth="1"/>
    <col min="3" max="3" width="12.7109375" style="38" customWidth="1"/>
    <col min="4" max="4" width="2.28515625" style="38" customWidth="1"/>
    <col min="5" max="5" width="20.7109375" style="38" customWidth="1"/>
    <col min="6" max="6" width="12.7109375" style="38" customWidth="1"/>
    <col min="7" max="7" width="2.28515625" style="38" customWidth="1"/>
    <col min="8" max="8" width="20.7109375" style="38" customWidth="1"/>
    <col min="9" max="9" width="12.7109375" style="38" customWidth="1"/>
    <col min="10" max="10" width="2.28515625" style="38" customWidth="1"/>
    <col min="11" max="11" width="21" style="38" customWidth="1"/>
    <col min="12" max="12" width="12.7109375" style="38" customWidth="1"/>
    <col min="13" max="13" width="2.28515625" style="38" customWidth="1"/>
    <col min="14" max="14" width="9.140625" style="38" customWidth="1"/>
    <col min="15" max="16" width="0" style="38" hidden="1" customWidth="1"/>
    <col min="17" max="16384" width="9.140625" style="38" hidden="1"/>
  </cols>
  <sheetData>
    <row r="1" spans="1:15" ht="3" customHeight="1" x14ac:dyDescent="0.25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37"/>
      <c r="O1" s="37"/>
    </row>
    <row r="2" spans="1:15" x14ac:dyDescent="0.25">
      <c r="A2" s="39"/>
      <c r="B2" s="40" t="s">
        <v>68</v>
      </c>
      <c r="C2" s="121"/>
      <c r="D2" s="122"/>
      <c r="E2" s="123"/>
      <c r="F2" s="37"/>
      <c r="G2" s="37"/>
      <c r="H2" s="37"/>
      <c r="I2" s="37"/>
      <c r="J2" s="37"/>
      <c r="K2" s="37"/>
      <c r="L2" s="37"/>
      <c r="M2" s="41"/>
      <c r="N2" s="37"/>
      <c r="O2" s="37"/>
    </row>
    <row r="3" spans="1:15" x14ac:dyDescent="0.25">
      <c r="A3" s="39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41"/>
      <c r="N3" s="37"/>
      <c r="O3" s="37"/>
    </row>
    <row r="4" spans="1:15" x14ac:dyDescent="0.25">
      <c r="A4" s="39"/>
      <c r="B4" s="40" t="s">
        <v>67</v>
      </c>
      <c r="C4" s="121"/>
      <c r="D4" s="122"/>
      <c r="E4" s="123"/>
      <c r="F4" s="37"/>
      <c r="G4" s="37"/>
      <c r="H4" s="37"/>
      <c r="I4" s="37"/>
      <c r="J4" s="37"/>
      <c r="K4" s="37"/>
      <c r="L4" s="37"/>
      <c r="M4" s="41"/>
      <c r="N4" s="37"/>
      <c r="O4" s="37"/>
    </row>
    <row r="5" spans="1:15" x14ac:dyDescent="0.25">
      <c r="A5" s="39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1"/>
      <c r="N5" s="37"/>
      <c r="O5" s="37"/>
    </row>
    <row r="6" spans="1:15" ht="15.75" thickBot="1" x14ac:dyDescent="0.3">
      <c r="A6" s="39"/>
      <c r="B6" s="119" t="s">
        <v>22</v>
      </c>
      <c r="C6" s="120"/>
      <c r="D6" s="37"/>
      <c r="E6" s="119" t="s">
        <v>95</v>
      </c>
      <c r="F6" s="120"/>
      <c r="G6" s="37"/>
      <c r="H6" s="119" t="s">
        <v>23</v>
      </c>
      <c r="I6" s="120"/>
      <c r="J6" s="37"/>
      <c r="K6" s="119" t="s">
        <v>43</v>
      </c>
      <c r="L6" s="120"/>
      <c r="M6" s="41"/>
      <c r="N6" s="37"/>
      <c r="O6" s="37"/>
    </row>
    <row r="7" spans="1:15" ht="15.75" thickTop="1" x14ac:dyDescent="0.25">
      <c r="A7" s="39"/>
      <c r="B7" s="42" t="s">
        <v>30</v>
      </c>
      <c r="C7" s="31"/>
      <c r="D7" s="37"/>
      <c r="E7" s="42" t="s">
        <v>31</v>
      </c>
      <c r="F7" s="43">
        <f>IF(Tables!D45&lt;0,0,Tables!D45)</f>
        <v>0</v>
      </c>
      <c r="G7" s="37"/>
      <c r="H7" s="42" t="s">
        <v>40</v>
      </c>
      <c r="I7" s="43">
        <f>(Tables!D31+Tables!E31)*0.01</f>
        <v>0</v>
      </c>
      <c r="J7" s="37"/>
      <c r="K7" s="42" t="s">
        <v>42</v>
      </c>
      <c r="L7" s="31"/>
      <c r="M7" s="41"/>
      <c r="N7" s="37"/>
      <c r="O7" s="37"/>
    </row>
    <row r="8" spans="1:15" x14ac:dyDescent="0.25">
      <c r="A8" s="39"/>
      <c r="B8" s="44" t="s">
        <v>24</v>
      </c>
      <c r="C8" s="32"/>
      <c r="D8" s="37"/>
      <c r="E8" s="44" t="s">
        <v>32</v>
      </c>
      <c r="F8" s="45">
        <f>IF(Tables!F47&gt;Tables!H2,Tables!H2,Tables!F47)</f>
        <v>0</v>
      </c>
      <c r="G8" s="37"/>
      <c r="H8" s="44" t="s">
        <v>32</v>
      </c>
      <c r="I8" s="45">
        <f>F8</f>
        <v>0</v>
      </c>
      <c r="J8" s="37"/>
      <c r="K8" s="44" t="s">
        <v>66</v>
      </c>
      <c r="L8" s="98"/>
      <c r="M8" s="41"/>
      <c r="N8" s="37"/>
      <c r="O8" s="37"/>
    </row>
    <row r="9" spans="1:15" x14ac:dyDescent="0.25">
      <c r="A9" s="39"/>
      <c r="B9" s="44" t="s">
        <v>25</v>
      </c>
      <c r="C9" s="32"/>
      <c r="D9" s="37"/>
      <c r="E9" s="44" t="s">
        <v>21</v>
      </c>
      <c r="F9" s="32"/>
      <c r="G9" s="37"/>
      <c r="H9" s="44" t="s">
        <v>21</v>
      </c>
      <c r="I9" s="32"/>
      <c r="J9" s="37"/>
      <c r="K9" s="44" t="s">
        <v>97</v>
      </c>
      <c r="L9" s="71">
        <f>Tables!I35</f>
        <v>0</v>
      </c>
      <c r="M9" s="41"/>
      <c r="N9" s="37"/>
      <c r="O9" s="37"/>
    </row>
    <row r="10" spans="1:15" x14ac:dyDescent="0.25">
      <c r="A10" s="39"/>
      <c r="B10" s="44" t="s">
        <v>26</v>
      </c>
      <c r="C10" s="32"/>
      <c r="D10" s="37"/>
      <c r="E10" s="44" t="s">
        <v>33</v>
      </c>
      <c r="F10" s="32"/>
      <c r="G10" s="37"/>
      <c r="H10" s="44" t="s">
        <v>33</v>
      </c>
      <c r="I10" s="32"/>
      <c r="J10" s="37"/>
      <c r="K10" s="44" t="s">
        <v>96</v>
      </c>
      <c r="L10" s="45">
        <f>IFERROR(IF(OR(F9&gt;0,I9&gt;0),VLOOKUP(L11,Tables!$B$20:$E$27,3,FALSE),0),Tables!D20)</f>
        <v>0</v>
      </c>
      <c r="M10" s="41"/>
      <c r="N10" s="37"/>
      <c r="O10" s="37"/>
    </row>
    <row r="11" spans="1:15" x14ac:dyDescent="0.25">
      <c r="A11" s="39"/>
      <c r="B11" s="44" t="s">
        <v>163</v>
      </c>
      <c r="C11" s="32"/>
      <c r="D11" s="37"/>
      <c r="E11" s="44" t="s">
        <v>34</v>
      </c>
      <c r="F11" s="32"/>
      <c r="G11" s="37"/>
      <c r="H11" s="44" t="s">
        <v>34</v>
      </c>
      <c r="I11" s="32"/>
      <c r="J11" s="37"/>
      <c r="K11" s="44" t="s">
        <v>44</v>
      </c>
      <c r="L11" s="33"/>
      <c r="M11" s="41"/>
      <c r="N11" s="37"/>
      <c r="O11" s="37"/>
    </row>
    <row r="12" spans="1:15" x14ac:dyDescent="0.25">
      <c r="A12" s="39"/>
      <c r="B12" s="55" t="s">
        <v>168</v>
      </c>
      <c r="C12" s="32"/>
      <c r="D12" s="37"/>
      <c r="E12" s="55" t="s">
        <v>35</v>
      </c>
      <c r="F12" s="32"/>
      <c r="G12" s="37"/>
      <c r="H12" s="55" t="s">
        <v>165</v>
      </c>
      <c r="I12" s="32"/>
      <c r="J12" s="37"/>
      <c r="K12" s="44" t="s">
        <v>55</v>
      </c>
      <c r="L12" s="33"/>
      <c r="M12" s="41"/>
      <c r="N12" s="37"/>
      <c r="O12" s="37"/>
    </row>
    <row r="13" spans="1:15" x14ac:dyDescent="0.25">
      <c r="A13" s="39"/>
      <c r="B13" s="55" t="s">
        <v>28</v>
      </c>
      <c r="C13" s="32"/>
      <c r="D13" s="37"/>
      <c r="E13" s="55" t="s">
        <v>36</v>
      </c>
      <c r="F13" s="32"/>
      <c r="G13" s="37"/>
      <c r="H13" s="55" t="s">
        <v>166</v>
      </c>
      <c r="I13" s="32"/>
      <c r="J13" s="37"/>
      <c r="K13" s="37"/>
      <c r="L13" s="37"/>
      <c r="M13" s="41"/>
      <c r="N13" s="37"/>
      <c r="O13" s="37"/>
    </row>
    <row r="14" spans="1:15" x14ac:dyDescent="0.25">
      <c r="A14" s="39"/>
      <c r="B14" s="55" t="s">
        <v>29</v>
      </c>
      <c r="C14" s="32"/>
      <c r="D14" s="37"/>
      <c r="E14" s="55" t="s">
        <v>37</v>
      </c>
      <c r="F14" s="32"/>
      <c r="G14" s="37"/>
      <c r="H14" s="55" t="s">
        <v>167</v>
      </c>
      <c r="I14" s="32"/>
      <c r="J14" s="37"/>
      <c r="K14" s="37"/>
      <c r="L14" s="37"/>
      <c r="M14" s="41"/>
      <c r="N14" s="37"/>
      <c r="O14" s="37"/>
    </row>
    <row r="15" spans="1:15" x14ac:dyDescent="0.25">
      <c r="A15" s="39"/>
      <c r="B15" s="55" t="s">
        <v>45</v>
      </c>
      <c r="C15" s="32"/>
      <c r="D15" s="37"/>
      <c r="E15" s="55" t="s">
        <v>38</v>
      </c>
      <c r="F15" s="32"/>
      <c r="G15" s="37"/>
      <c r="H15" s="55" t="s">
        <v>164</v>
      </c>
      <c r="I15" s="32"/>
      <c r="J15" s="37"/>
      <c r="K15" s="37"/>
      <c r="L15" s="37"/>
      <c r="M15" s="41"/>
      <c r="N15" s="37"/>
      <c r="O15" s="37"/>
    </row>
    <row r="16" spans="1:15" x14ac:dyDescent="0.25">
      <c r="A16" s="39"/>
      <c r="B16" s="55" t="s">
        <v>46</v>
      </c>
      <c r="C16" s="32"/>
      <c r="D16" s="37"/>
      <c r="E16" s="55" t="s">
        <v>39</v>
      </c>
      <c r="F16" s="32"/>
      <c r="G16" s="37"/>
      <c r="H16" s="55" t="s">
        <v>41</v>
      </c>
      <c r="I16" s="32"/>
      <c r="J16" s="37"/>
      <c r="K16" s="37"/>
      <c r="L16" s="37"/>
      <c r="M16" s="41"/>
      <c r="N16" s="37"/>
      <c r="O16" s="37"/>
    </row>
    <row r="17" spans="1:15" x14ac:dyDescent="0.25">
      <c r="A17" s="39"/>
      <c r="B17" s="37"/>
      <c r="C17" s="46"/>
      <c r="D17" s="37"/>
      <c r="E17" s="40"/>
      <c r="F17" s="46"/>
      <c r="G17" s="37"/>
      <c r="H17" s="40"/>
      <c r="I17" s="46"/>
      <c r="J17" s="37"/>
      <c r="K17" s="37"/>
      <c r="L17" s="37"/>
      <c r="M17" s="41"/>
      <c r="N17" s="37"/>
      <c r="O17" s="37"/>
    </row>
    <row r="18" spans="1:15" ht="15.75" thickBot="1" x14ac:dyDescent="0.3">
      <c r="A18" s="39"/>
      <c r="B18" s="40" t="s">
        <v>63</v>
      </c>
      <c r="C18" s="47">
        <f>SUM(C7:C16)</f>
        <v>0</v>
      </c>
      <c r="D18" s="37"/>
      <c r="E18" s="40" t="s">
        <v>64</v>
      </c>
      <c r="F18" s="47">
        <f>SUM(F7:F16)</f>
        <v>0</v>
      </c>
      <c r="G18" s="37"/>
      <c r="H18" s="40" t="s">
        <v>65</v>
      </c>
      <c r="I18" s="47">
        <f>SUM(I7:I16)</f>
        <v>0</v>
      </c>
      <c r="J18" s="37"/>
      <c r="K18" s="37"/>
      <c r="L18" s="37"/>
      <c r="M18" s="41"/>
      <c r="N18" s="37"/>
      <c r="O18" s="37"/>
    </row>
    <row r="19" spans="1:15" x14ac:dyDescent="0.25">
      <c r="A19" s="39"/>
      <c r="B19" s="40"/>
      <c r="C19" s="48"/>
      <c r="D19" s="37"/>
      <c r="E19" s="37"/>
      <c r="F19" s="37"/>
      <c r="G19" s="37"/>
      <c r="H19" s="37"/>
      <c r="I19" s="37"/>
      <c r="J19" s="37"/>
      <c r="K19" s="37"/>
      <c r="L19" s="37"/>
      <c r="M19" s="41"/>
      <c r="N19" s="37"/>
      <c r="O19" s="37"/>
    </row>
    <row r="20" spans="1:15" ht="15.75" thickBot="1" x14ac:dyDescent="0.3">
      <c r="A20" s="39"/>
      <c r="B20" s="40" t="s">
        <v>48</v>
      </c>
      <c r="C20" s="49">
        <f>+C18+I18</f>
        <v>0</v>
      </c>
      <c r="D20" s="37"/>
      <c r="E20" s="37"/>
      <c r="F20" s="37"/>
      <c r="G20" s="37"/>
      <c r="H20" s="37"/>
      <c r="I20" s="37"/>
      <c r="J20" s="37"/>
      <c r="K20" s="40" t="s">
        <v>47</v>
      </c>
      <c r="L20" s="50">
        <f>+C18-F18</f>
        <v>0</v>
      </c>
      <c r="M20" s="41"/>
      <c r="N20" s="37"/>
      <c r="O20" s="37"/>
    </row>
    <row r="21" spans="1:15" ht="16.5" thickTop="1" thickBo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37"/>
      <c r="O21" s="37"/>
    </row>
    <row r="22" spans="1:15" ht="15.75" thickTop="1" x14ac:dyDescent="0.25">
      <c r="A22" s="37"/>
      <c r="B22" s="37" t="s">
        <v>69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x14ac:dyDescent="0.25">
      <c r="A23" s="37"/>
      <c r="B23" s="124"/>
      <c r="C23" s="125"/>
      <c r="D23" s="125"/>
      <c r="E23" s="125"/>
      <c r="F23" s="125"/>
      <c r="G23" s="125"/>
      <c r="H23" s="126"/>
      <c r="I23" s="37"/>
      <c r="J23" s="37"/>
      <c r="K23" s="37"/>
      <c r="L23" s="37"/>
      <c r="M23" s="37"/>
      <c r="N23" s="37"/>
      <c r="O23" s="37"/>
    </row>
    <row r="24" spans="1:15" x14ac:dyDescent="0.25">
      <c r="A24" s="37"/>
      <c r="B24" s="127"/>
      <c r="C24" s="128"/>
      <c r="D24" s="128"/>
      <c r="E24" s="128"/>
      <c r="F24" s="128"/>
      <c r="G24" s="128"/>
      <c r="H24" s="129"/>
      <c r="I24" s="37"/>
      <c r="J24" s="37"/>
      <c r="K24" s="37"/>
      <c r="L24" s="37"/>
      <c r="M24" s="37"/>
      <c r="N24" s="37"/>
      <c r="O24" s="37"/>
    </row>
    <row r="25" spans="1:15" x14ac:dyDescent="0.25">
      <c r="A25" s="37"/>
      <c r="B25" s="127"/>
      <c r="C25" s="128"/>
      <c r="D25" s="128"/>
      <c r="E25" s="128"/>
      <c r="F25" s="128"/>
      <c r="G25" s="128"/>
      <c r="H25" s="129"/>
      <c r="I25" s="37"/>
      <c r="J25" s="37"/>
      <c r="K25" s="37"/>
      <c r="L25" s="37"/>
      <c r="M25" s="37"/>
      <c r="N25" s="37"/>
      <c r="O25" s="37"/>
    </row>
    <row r="26" spans="1:15" x14ac:dyDescent="0.25">
      <c r="A26" s="37"/>
      <c r="B26" s="127"/>
      <c r="C26" s="128"/>
      <c r="D26" s="128"/>
      <c r="E26" s="128"/>
      <c r="F26" s="128"/>
      <c r="G26" s="128"/>
      <c r="H26" s="129"/>
      <c r="I26" s="37"/>
      <c r="J26" s="37"/>
      <c r="K26" s="37"/>
      <c r="L26" s="37"/>
      <c r="M26" s="37"/>
      <c r="N26" s="37"/>
      <c r="O26" s="37"/>
    </row>
    <row r="27" spans="1:15" x14ac:dyDescent="0.25">
      <c r="A27" s="37"/>
      <c r="B27" s="130"/>
      <c r="C27" s="131"/>
      <c r="D27" s="131"/>
      <c r="E27" s="131"/>
      <c r="F27" s="131"/>
      <c r="G27" s="131"/>
      <c r="H27" s="132"/>
      <c r="I27" s="37"/>
      <c r="J27" s="37"/>
      <c r="K27" s="37"/>
      <c r="L27" s="37"/>
      <c r="M27" s="37"/>
      <c r="N27" s="37"/>
      <c r="O27" s="37"/>
    </row>
    <row r="28" spans="1:15" x14ac:dyDescent="0.25">
      <c r="A28" s="37"/>
      <c r="B28" s="72" t="s">
        <v>171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x14ac:dyDescent="0.25">
      <c r="A29" s="37"/>
      <c r="B29" s="64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 x14ac:dyDescent="0.25">
      <c r="A30" s="37"/>
      <c r="B30" s="37"/>
      <c r="C30" s="37"/>
      <c r="D30" s="37"/>
      <c r="E30" s="37"/>
      <c r="F30" s="37"/>
      <c r="G30" s="37"/>
      <c r="H30" s="54"/>
      <c r="I30" s="37"/>
      <c r="J30" s="37"/>
      <c r="K30" s="37"/>
      <c r="L30" s="37"/>
      <c r="M30" s="37"/>
      <c r="N30" s="37"/>
      <c r="O30" s="37"/>
    </row>
    <row r="31" spans="1:15" hidden="1" x14ac:dyDescent="0.25">
      <c r="A31" s="37"/>
      <c r="B31" s="72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 hidden="1" x14ac:dyDescent="0.25">
      <c r="A32" s="37"/>
      <c r="B32" s="93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hidden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 hidden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hidden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hidden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 hidden="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hidden="1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 hidden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sheetProtection algorithmName="SHA-512" hashValue="mJ9hHhECZW6/kv/ROgPCHMwR+uK2VUPlIZOJui3uJloNN6viW6qj+CtG3/bwihzWQ9zwhQQn2T/f32j9BW5/Kw==" saltValue="S/Aw9duktAyPxmYw+k5jzA==" spinCount="100000" sheet="1" objects="1" scenarios="1"/>
  <mergeCells count="7">
    <mergeCell ref="K6:L6"/>
    <mergeCell ref="C4:E4"/>
    <mergeCell ref="C2:E2"/>
    <mergeCell ref="B23:H27"/>
    <mergeCell ref="B6:C6"/>
    <mergeCell ref="E6:F6"/>
    <mergeCell ref="H6:I6"/>
  </mergeCells>
  <phoneticPr fontId="13" type="noConversion"/>
  <pageMargins left="0.7" right="0.7" top="0.75" bottom="0.75" header="0.3" footer="0.3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34"/>
  <sheetViews>
    <sheetView workbookViewId="0"/>
  </sheetViews>
  <sheetFormatPr defaultColWidth="0" defaultRowHeight="15" zeroHeight="1" x14ac:dyDescent="0.25"/>
  <cols>
    <col min="1" max="1" width="2.140625" customWidth="1"/>
    <col min="2" max="15" width="9.140625" customWidth="1"/>
    <col min="16" max="16" width="4.42578125" customWidth="1"/>
    <col min="17" max="17" width="9.140625" customWidth="1"/>
    <col min="18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6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/>
      <c r="B4" s="3" t="s">
        <v>70</v>
      </c>
      <c r="C4" s="3"/>
      <c r="D4" s="3"/>
      <c r="E4" s="3"/>
      <c r="F4" s="3"/>
      <c r="G4" s="3"/>
      <c r="H4" s="3"/>
      <c r="I4" s="3"/>
      <c r="J4" s="3"/>
      <c r="K4" s="3"/>
      <c r="L4" s="3"/>
      <c r="M4" s="56" t="s">
        <v>90</v>
      </c>
      <c r="N4" s="57" t="s">
        <v>93</v>
      </c>
      <c r="O4" s="58"/>
      <c r="P4" s="59"/>
      <c r="Q4" s="3"/>
    </row>
    <row r="5" spans="1:17" x14ac:dyDescent="0.25">
      <c r="A5" s="3"/>
      <c r="B5" s="3" t="s">
        <v>88</v>
      </c>
      <c r="C5" s="3"/>
      <c r="D5" s="3"/>
      <c r="E5" s="3"/>
      <c r="F5" s="3"/>
      <c r="G5" s="3"/>
      <c r="H5" s="3"/>
      <c r="I5" s="3"/>
      <c r="J5" s="3"/>
      <c r="K5" s="3"/>
      <c r="L5" s="3"/>
      <c r="M5" s="60" t="s">
        <v>91</v>
      </c>
      <c r="N5" s="61" t="s">
        <v>92</v>
      </c>
      <c r="O5" s="62"/>
      <c r="P5" s="63"/>
      <c r="Q5" s="3"/>
    </row>
    <row r="6" spans="1:17" x14ac:dyDescent="0.25">
      <c r="A6" s="3"/>
      <c r="B6" s="3" t="s">
        <v>71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/>
      <c r="B7" s="3" t="s">
        <v>72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/>
      <c r="B8" s="3" t="s">
        <v>73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9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3"/>
      <c r="B12" s="3" t="s">
        <v>87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/>
      <c r="B13" s="3" t="s">
        <v>74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/>
      <c r="B14" s="3" t="s">
        <v>75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3"/>
      <c r="B15" s="3" t="s">
        <v>76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/>
      <c r="B16" s="3" t="s">
        <v>77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/>
      <c r="B17" s="3" t="s">
        <v>83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/>
      <c r="B18" s="3" t="s">
        <v>78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3"/>
      <c r="B19" s="3" t="s">
        <v>79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 t="s">
        <v>80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/>
      <c r="B21" s="3" t="s">
        <v>81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3" t="s">
        <v>86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3" t="s">
        <v>170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/>
      <c r="B24" s="3" t="s">
        <v>82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 t="s">
        <v>84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 t="s">
        <v>85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 t="s">
        <v>94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 t="s">
        <v>89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 t="s">
        <v>153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</sheetData>
  <sheetProtection algorithmName="SHA-512" hashValue="4yjM9QAAtqSATQh/172waWHJV914Zy3wGg5Eij9LnB+tIbXgDGY7C4bcv8XEo3APvbiqvseOYtoyeXgAjzQ97Q==" saltValue="i6u96JVuEyBmmJpMmNFUJg==" spinCount="100000" sheet="1" objects="1" scenarios="1"/>
  <hyperlinks>
    <hyperlink ref="N5" r:id="rId1" xr:uid="{00000000-0004-0000-02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Tables</vt:lpstr>
      <vt:lpstr>Payslip</vt:lpstr>
      <vt:lpstr>Start</vt:lpstr>
      <vt:lpstr>Payslip!Print_Area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G. Booysen</dc:creator>
  <cp:lastModifiedBy>Nikita Barnard</cp:lastModifiedBy>
  <cp:lastPrinted>2016-04-06T09:26:47Z</cp:lastPrinted>
  <dcterms:created xsi:type="dcterms:W3CDTF">2016-01-08T06:46:14Z</dcterms:created>
  <dcterms:modified xsi:type="dcterms:W3CDTF">2023-03-03T07:12:43Z</dcterms:modified>
</cp:coreProperties>
</file>